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Loesungen/"/>
    </mc:Choice>
  </mc:AlternateContent>
  <xr:revisionPtr revIDLastSave="34" documentId="8_{C2F5CF04-7D8D-4C94-8632-49B0C8E78980}" xr6:coauthVersionLast="47" xr6:coauthVersionMax="47" xr10:uidLastSave="{CD48FF6C-F167-41FF-98F1-4D041859B310}"/>
  <bookViews>
    <workbookView xWindow="57480" yWindow="-120" windowWidth="29040" windowHeight="15720" tabRatio="730" xr2:uid="{6C23E96B-A9AA-4690-9375-88706F64BDB2}"/>
  </bookViews>
  <sheets>
    <sheet name="Umsätze" sheetId="1" r:id="rId1"/>
    <sheet name="Kosten" sheetId="3" r:id="rId2"/>
    <sheet name="Gewinn" sheetId="2" r:id="rId3"/>
    <sheet name="Rentabilität" sheetId="6" r:id="rId4"/>
    <sheet name="Aufwendung" sheetId="4" r:id="rId5"/>
    <sheet name="Reingewinn" sheetId="5" r:id="rId6"/>
  </sheets>
  <externalReferences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5" l="1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E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D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B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E25" i="2" l="1"/>
  <c r="D25" i="2"/>
  <c r="C25" i="2"/>
  <c r="E25" i="4"/>
  <c r="D25" i="4"/>
  <c r="C25" i="4"/>
  <c r="B25" i="4"/>
  <c r="F21" i="3"/>
  <c r="F23" i="3"/>
  <c r="F10" i="4" l="1"/>
  <c r="F8" i="4"/>
  <c r="F19" i="1"/>
  <c r="F11" i="4"/>
  <c r="F13" i="4"/>
  <c r="F24" i="3"/>
  <c r="F6" i="3"/>
  <c r="F16" i="3"/>
  <c r="F14" i="3"/>
  <c r="F14" i="4"/>
  <c r="F12" i="4"/>
  <c r="F18" i="1"/>
  <c r="F17" i="1"/>
  <c r="F6" i="4"/>
  <c r="F24" i="4"/>
  <c r="F4" i="4"/>
  <c r="F10" i="1"/>
  <c r="F5" i="4"/>
  <c r="F9" i="3"/>
  <c r="F4" i="1"/>
  <c r="F7" i="4"/>
  <c r="F24" i="1"/>
  <c r="F9" i="4"/>
  <c r="F16" i="1"/>
  <c r="F20" i="3"/>
  <c r="F14" i="1"/>
  <c r="F13" i="1"/>
  <c r="F15" i="3"/>
  <c r="F18" i="3"/>
  <c r="F12" i="1"/>
  <c r="F15" i="1"/>
  <c r="F2" i="4"/>
  <c r="F9" i="1"/>
  <c r="F11" i="1"/>
  <c r="F19" i="4"/>
  <c r="F3" i="1"/>
  <c r="F23" i="1"/>
  <c r="F23" i="2" s="1"/>
  <c r="F23" i="6" s="1"/>
  <c r="F8" i="1"/>
  <c r="F12" i="3"/>
  <c r="F7" i="1"/>
  <c r="F11" i="3"/>
  <c r="F17" i="4"/>
  <c r="F5" i="1"/>
  <c r="F10" i="3"/>
  <c r="F16" i="4"/>
  <c r="F22" i="1"/>
  <c r="F2" i="1"/>
  <c r="F7" i="3"/>
  <c r="F21" i="1"/>
  <c r="F21" i="2" s="1"/>
  <c r="F21" i="6" s="1"/>
  <c r="F8" i="3"/>
  <c r="F20" i="1"/>
  <c r="F15" i="4"/>
  <c r="F22" i="3"/>
  <c r="F19" i="3"/>
  <c r="F3" i="4"/>
  <c r="F2" i="3"/>
  <c r="F21" i="4"/>
  <c r="F18" i="4"/>
  <c r="F17" i="3"/>
  <c r="F23" i="4"/>
  <c r="F13" i="3"/>
  <c r="F6" i="1"/>
  <c r="F20" i="4"/>
  <c r="F4" i="3"/>
  <c r="F3" i="3"/>
  <c r="F22" i="4"/>
  <c r="F5" i="3"/>
  <c r="B25" i="2"/>
  <c r="F25" i="4" l="1"/>
  <c r="F12" i="5"/>
  <c r="F4" i="5"/>
  <c r="F8" i="5"/>
  <c r="F3" i="5"/>
  <c r="F5" i="5"/>
  <c r="F10" i="5"/>
  <c r="F19" i="2"/>
  <c r="F19" i="6" s="1"/>
  <c r="F16" i="2"/>
  <c r="F16" i="6" s="1"/>
  <c r="F24" i="2"/>
  <c r="F24" i="6" s="1"/>
  <c r="F15" i="2"/>
  <c r="F15" i="6" s="1"/>
  <c r="F14" i="2"/>
  <c r="F14" i="6" s="1"/>
  <c r="F6" i="2"/>
  <c r="F6" i="6" s="1"/>
  <c r="F13" i="2"/>
  <c r="F13" i="6" s="1"/>
  <c r="F11" i="2"/>
  <c r="F11" i="6" s="1"/>
  <c r="F12" i="2"/>
  <c r="F12" i="6" s="1"/>
  <c r="F10" i="2"/>
  <c r="F10" i="6" s="1"/>
  <c r="F17" i="2"/>
  <c r="F17" i="6" s="1"/>
  <c r="F18" i="2"/>
  <c r="F18" i="6" s="1"/>
  <c r="F8" i="2"/>
  <c r="F8" i="6" s="1"/>
  <c r="F5" i="2"/>
  <c r="F5" i="6" s="1"/>
  <c r="F4" i="2"/>
  <c r="F4" i="6" s="1"/>
  <c r="F20" i="2"/>
  <c r="F20" i="6" s="1"/>
  <c r="F7" i="2"/>
  <c r="F7" i="6" s="1"/>
  <c r="F9" i="2"/>
  <c r="F9" i="6" s="1"/>
  <c r="F2" i="2"/>
  <c r="F3" i="2"/>
  <c r="F3" i="6" s="1"/>
  <c r="F22" i="2"/>
  <c r="F22" i="6" s="1"/>
  <c r="F22" i="5"/>
  <c r="F9" i="5"/>
  <c r="F2" i="6" l="1"/>
  <c r="F25" i="2"/>
  <c r="F16" i="5"/>
  <c r="F13" i="5"/>
  <c r="F17" i="5"/>
  <c r="F19" i="5"/>
  <c r="F2" i="5"/>
  <c r="B25" i="5"/>
  <c r="F23" i="5"/>
  <c r="F6" i="5"/>
  <c r="F15" i="5"/>
  <c r="F11" i="5"/>
  <c r="E25" i="5"/>
  <c r="D25" i="5"/>
  <c r="F21" i="5"/>
  <c r="F18" i="5"/>
  <c r="F24" i="5"/>
  <c r="F7" i="5"/>
  <c r="C25" i="5"/>
  <c r="F20" i="5"/>
  <c r="F14" i="5"/>
  <c r="F25" i="5" l="1"/>
</calcChain>
</file>

<file path=xl/sharedStrings.xml><?xml version="1.0" encoding="utf-8"?>
<sst xmlns="http://schemas.openxmlformats.org/spreadsheetml/2006/main" count="44" uniqueCount="33">
  <si>
    <t>Jahr</t>
  </si>
  <si>
    <t>Umsatz DE</t>
  </si>
  <si>
    <t>Umsatz FR</t>
  </si>
  <si>
    <t>Umsatz AT</t>
  </si>
  <si>
    <t>Total Umsatz</t>
  </si>
  <si>
    <t>Umsatz CH*</t>
  </si>
  <si>
    <t>CH* in Euro umgerechnet</t>
  </si>
  <si>
    <t>Kosten DE</t>
  </si>
  <si>
    <t>Kosten FR</t>
  </si>
  <si>
    <t>Kosten AT</t>
  </si>
  <si>
    <t>Total Kosten</t>
  </si>
  <si>
    <t>Kosten CH*</t>
  </si>
  <si>
    <t>Reingewinn DE</t>
  </si>
  <si>
    <t>Reingewinn FR</t>
  </si>
  <si>
    <t>Reingewinn AT</t>
  </si>
  <si>
    <t>Total Reingewinn</t>
  </si>
  <si>
    <t>Reingewinn CH*</t>
  </si>
  <si>
    <t>Gewinn CH*</t>
  </si>
  <si>
    <t>Gewinn DE</t>
  </si>
  <si>
    <t>Gewinn FR</t>
  </si>
  <si>
    <t>Gewinn AT</t>
  </si>
  <si>
    <t>Total Gewinn</t>
  </si>
  <si>
    <t>Aufwendung CH*</t>
  </si>
  <si>
    <t>Aufwendung DE</t>
  </si>
  <si>
    <t>Aufwendung FR</t>
  </si>
  <si>
    <t>Aufwendung AT</t>
  </si>
  <si>
    <t>Total Aufwendung</t>
  </si>
  <si>
    <t>Rentabilität DE</t>
  </si>
  <si>
    <t>Rentabilität FR</t>
  </si>
  <si>
    <t>Rentabilität AT</t>
  </si>
  <si>
    <t>Total Rentabilität</t>
  </si>
  <si>
    <t>Rentabilität CH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</si>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</sst>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9" fontId="0" fillId="0" borderId="0" xfId="2" applyFont="1" applyAlignment="1">
      <alignment horizontal="center"/>
    </xf>
    <xf numFmtId="0" fontId="0" fillId="0" borderId="0" xfId="0" applyAlignment="1">
      <alignment horizontal="left"/>
    </xf>
  </cellXfs>
  <cellStyles count="3">
    <cellStyle name="Komma" xfId="1" builtinId="3"/>
    <cellStyle name="Prozent" xfId="2" builtinId="5"/>
    <cellStyle name="Standard" xfId="0" builtinId="0"/>
  </cellStyles>
  <dxfs count="66"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CH.xlsx?5B8B69CB" TargetMode="External"/><Relationship Id="rId1" Type="http://schemas.openxmlformats.org/officeDocument/2006/relationships/externalLinkPath" Target="file:///\\5B8B69CB\CH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DE.xlsx?5B8B69CB" TargetMode="External"/><Relationship Id="rId1" Type="http://schemas.openxmlformats.org/officeDocument/2006/relationships/externalLinkPath" Target="file:///\\5B8B69CB\D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R.xlsx?5B8B69CB" TargetMode="External"/><Relationship Id="rId1" Type="http://schemas.openxmlformats.org/officeDocument/2006/relationships/externalLinkPath" Target="file:///\\5B8B69CB\FR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AT.xlsx?5B8B69CB" TargetMode="External"/><Relationship Id="rId1" Type="http://schemas.openxmlformats.org/officeDocument/2006/relationships/externalLinkPath" Target="file:///\\5B8B69CB\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riebszahlen CH"/>
      <sheetName val="CH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riebszahlen DE"/>
      <sheetName val="D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riebszahlen FR"/>
      <sheetName val="FR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riebszahlen AT"/>
      <sheetName val="AT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B08FDD-8F35-49D0-8818-C3D0477969AC}" name="Tabelle1" displayName="Tabelle1" ref="A1:F24" totalsRowShown="0" headerRowDxfId="65" dataDxfId="64">
  <autoFilter ref="A1:F24" xr:uid="{2EB08FDD-8F35-49D0-8818-C3D0477969A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FA74538-9CC1-4D53-A702-143B4A11AD29}" name="Jahr" dataDxfId="63"/>
    <tableColumn id="2" xr3:uid="{782C424A-10A3-4A93-8488-BAAC6FB4A1B4}" name="Umsatz CH*" dataDxfId="62" dataCellStyle="Komma">
      <calculatedColumnFormula>[1]!Tabelle1[[#This Row],[Umsatz CH*]]</calculatedColumnFormula>
    </tableColumn>
    <tableColumn id="3" xr3:uid="{05C4B93F-1303-4943-8C5F-28105AF58AE1}" name="Umsatz DE" dataDxfId="61" dataCellStyle="Komma">
      <calculatedColumnFormula>[2]!Tabelle1[[#This Row],[Umsatz DE]]</calculatedColumnFormula>
    </tableColumn>
    <tableColumn id="4" xr3:uid="{5A604A04-5F30-4D6B-9727-F059545BF530}" name="Umsatz FR" dataDxfId="60" dataCellStyle="Komma">
      <calculatedColumnFormula>[3]!Tabelle1[[#This Row],[Umsatz FR]]</calculatedColumnFormula>
    </tableColumn>
    <tableColumn id="5" xr3:uid="{FD30AEC9-C7B5-4A92-B261-B2C62E0C8D39}" name="Umsatz AT" dataDxfId="59" dataCellStyle="Komma">
      <calculatedColumnFormula>[4]!Tabelle1[[#This Row],[Umsatz AT]]</calculatedColumnFormula>
    </tableColumn>
    <tableColumn id="6" xr3:uid="{3C72D29A-BF64-4C21-B619-46611EC9F361}" name="Total Umsatz" dataDxfId="58" dataCellStyle="Komma">
      <calculatedColumnFormula>SUM(Tabelle1[[#This Row],[Umsatz CH*]:[Umsatz AT]])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574613-235A-41C0-B968-F5EE10D0ED1F}" name="Tabelle13" displayName="Tabelle13" ref="A1:F24" totalsRowShown="0" headerRowDxfId="57" dataDxfId="56">
  <autoFilter ref="A1:F24" xr:uid="{DC574613-235A-41C0-B968-F5EE10D0ED1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FCBCE3A-4981-46A6-9203-1A794257A629}" name="Jahr" dataDxfId="55"/>
    <tableColumn id="2" xr3:uid="{8D17ED9A-28B5-4846-813E-5F997BD0F944}" name="Kosten CH*" dataDxfId="54" dataCellStyle="Komma">
      <calculatedColumnFormula>[1]!Tabelle1[[#This Row],[Kosten CH*]]</calculatedColumnFormula>
    </tableColumn>
    <tableColumn id="3" xr3:uid="{0DCAF51E-4EC0-41AD-9D0D-E3B53AF4E646}" name="Kosten DE" dataDxfId="53" dataCellStyle="Komma">
      <calculatedColumnFormula>[2]!Tabelle1[[#This Row],[Kosten DE]]</calculatedColumnFormula>
    </tableColumn>
    <tableColumn id="4" xr3:uid="{52B25B0B-4AD3-45A0-A1A6-4AA37940E27F}" name="Kosten FR" dataDxfId="52" dataCellStyle="Komma">
      <calculatedColumnFormula>[3]!Tabelle1[[#This Row],[Kosten FR]]</calculatedColumnFormula>
    </tableColumn>
    <tableColumn id="5" xr3:uid="{2772D4C2-F6F3-4141-A1C7-E82FBDC4B2A6}" name="Kosten AT" dataDxfId="51" dataCellStyle="Komma">
      <calculatedColumnFormula>[4]!Tabelle1[[#This Row],[Kosten AT]]</calculatedColumnFormula>
    </tableColumn>
    <tableColumn id="6" xr3:uid="{AFC001C6-AD05-4FC1-BC5F-A2BD2960D3C7}" name="Total Kosten" dataDxfId="50" dataCellStyle="Komma">
      <calculatedColumnFormula>SUM(Tabelle13[[#This Row],[Kosten CH*]:[Kosten AT]])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8427A5-2EB5-42A9-A1C8-737AD691D638}" name="Tabelle135" displayName="Tabelle135" ref="A1:F25" totalsRowCount="1" headerRowDxfId="49" dataDxfId="48">
  <autoFilter ref="A1:F24" xr:uid="{0F8427A5-2EB5-42A9-A1C8-737AD691D6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7C65BEC-2B32-4D2A-8665-99110CD65803}" name="Jahr" totalsRowLabel="Ergebnis" dataDxfId="47" totalsRowDxfId="46"/>
    <tableColumn id="2" xr3:uid="{62537D46-F44E-4188-B9A8-2D2F7A0160C5}" name="Gewinn CH*" totalsRowFunction="sum" dataDxfId="45" totalsRowDxfId="44">
      <calculatedColumnFormula>Tabelle1[[#This Row],[Umsatz CH*]]-Tabelle13[[#This Row],[Kosten CH*]]</calculatedColumnFormula>
    </tableColumn>
    <tableColumn id="3" xr3:uid="{3E4BF8B6-D334-4918-B788-7038E75F5D4B}" name="Gewinn DE" totalsRowFunction="sum" dataDxfId="43" totalsRowDxfId="42">
      <calculatedColumnFormula>Tabelle1[[#This Row],[Umsatz DE]]-Tabelle13[[#This Row],[Kosten DE]]</calculatedColumnFormula>
    </tableColumn>
    <tableColumn id="4" xr3:uid="{ACC1DFF3-BD50-4200-9B69-7771AAD9A49F}" name="Gewinn FR" totalsRowFunction="sum" dataDxfId="41" totalsRowDxfId="40">
      <calculatedColumnFormula>Tabelle1[[#This Row],[Umsatz FR]]-Tabelle13[[#This Row],[Kosten FR]]</calculatedColumnFormula>
    </tableColumn>
    <tableColumn id="5" xr3:uid="{CFA6295B-CD1E-4D44-9C55-80A5F088025C}" name="Gewinn AT" totalsRowFunction="sum" dataDxfId="39" totalsRowDxfId="38">
      <calculatedColumnFormula>Tabelle1[[#This Row],[Umsatz AT]]-Tabelle13[[#This Row],[Kosten AT]]</calculatedColumnFormula>
    </tableColumn>
    <tableColumn id="6" xr3:uid="{FDA2A064-E236-405C-9119-8F308A2A6D32}" name="Total Gewinn" totalsRowFunction="sum" dataDxfId="37" totalsRowDxfId="36">
      <calculatedColumnFormula>Tabelle1[[#This Row],[Total Umsatz]]-Tabelle13[[#This Row],[Total Kosten]]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FAB9F10-494B-48F8-82B7-046FA9B4CCC5}" name="Tabelle137" displayName="Tabelle137" ref="A1:F24" totalsRowShown="0" headerRowDxfId="35" dataDxfId="34">
  <autoFilter ref="A1:F24" xr:uid="{EFAB9F10-494B-48F8-82B7-046FA9B4CC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98E8D6F-27F3-4F8E-A6E0-09DAC65D7D02}" name="Jahr" dataDxfId="33"/>
    <tableColumn id="2" xr3:uid="{B68DE6FC-FAA5-453B-B4F0-CB6EEF2D4793}" name="Rentabilität CH" dataDxfId="32" dataCellStyle="Prozent">
      <calculatedColumnFormula>Tabelle135[[#This Row],[Gewinn CH*]]/Tabelle1[[#This Row],[Umsatz CH*]]</calculatedColumnFormula>
    </tableColumn>
    <tableColumn id="3" xr3:uid="{17C916DC-AD43-4D8C-9CCF-4D8B160DD41B}" name="Rentabilität DE" dataDxfId="31" dataCellStyle="Prozent">
      <calculatedColumnFormula>Tabelle135[[#This Row],[Gewinn DE]]/Tabelle1[[#This Row],[Umsatz DE]]</calculatedColumnFormula>
    </tableColumn>
    <tableColumn id="4" xr3:uid="{823EA997-CC98-4B11-9C69-9F9BAAB094A9}" name="Rentabilität FR" dataDxfId="30" dataCellStyle="Prozent">
      <calculatedColumnFormula>Tabelle135[[#This Row],[Gewinn FR]]/Tabelle1[[#This Row],[Umsatz FR]]</calculatedColumnFormula>
    </tableColumn>
    <tableColumn id="5" xr3:uid="{B07BDF88-3D8F-49AE-99E6-5C34367636B3}" name="Rentabilität AT" dataDxfId="29" dataCellStyle="Prozent">
      <calculatedColumnFormula>Tabelle135[[#This Row],[Gewinn AT]]/Tabelle1[[#This Row],[Umsatz AT]]</calculatedColumnFormula>
    </tableColumn>
    <tableColumn id="6" xr3:uid="{8BC867FE-66DB-4980-A18D-A13C010BDD48}" name="Total Rentabilität" dataDxfId="28" dataCellStyle="Prozent">
      <calculatedColumnFormula>Tabelle135[[#This Row],[Total Gewinn]]/Tabelle1[[#This Row],[Total Umsatz]]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355394-9D5F-44C4-ADEE-F2C1D246E7C9}" name="Tabelle1356" displayName="Tabelle1356" ref="A1:F25" totalsRowCount="1" headerRowDxfId="27" dataDxfId="26">
  <autoFilter ref="A1:F24" xr:uid="{0F355394-9D5F-44C4-ADEE-F2C1D246E7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73C1BE4-74BE-48C7-99F4-352BDF4F8737}" name="Jahr" totalsRowLabel="Ergebnis" dataDxfId="25" totalsRowDxfId="24"/>
    <tableColumn id="2" xr3:uid="{44D829F7-4D38-47DE-A088-DDE951190342}" name="Aufwendung CH*" totalsRowFunction="sum" dataDxfId="23" totalsRowDxfId="22" dataCellStyle="Komma">
      <calculatedColumnFormula>[1]!Tabelle1[[#This Row],[Aufwendung CH*]]</calculatedColumnFormula>
    </tableColumn>
    <tableColumn id="3" xr3:uid="{422275CF-A1B0-43AA-AFE3-033BE2BB2B22}" name="Aufwendung DE" totalsRowFunction="sum" dataDxfId="21" totalsRowDxfId="20" dataCellStyle="Komma">
      <calculatedColumnFormula>[2]!Tabelle1[[#This Row],[Aufwendung DE]]</calculatedColumnFormula>
    </tableColumn>
    <tableColumn id="4" xr3:uid="{8AE412BD-A079-4072-88B6-7AFB110B2C33}" name="Aufwendung FR" totalsRowFunction="sum" dataDxfId="19" totalsRowDxfId="18" dataCellStyle="Komma">
      <calculatedColumnFormula>[3]!Tabelle1[[#This Row],[Aufwendung FR]]</calculatedColumnFormula>
    </tableColumn>
    <tableColumn id="5" xr3:uid="{3E978E74-08B0-49C3-A6BF-E2DFFCD9507B}" name="Aufwendung AT" totalsRowFunction="sum" dataDxfId="17" totalsRowDxfId="16" dataCellStyle="Komma">
      <calculatedColumnFormula>[4]!Tabelle1[[#This Row],[Aufwendung AT]]</calculatedColumnFormula>
    </tableColumn>
    <tableColumn id="6" xr3:uid="{B05EAFFC-F949-4F71-972F-F1AC7902C713}" name="Total Aufwendung" totalsRowFunction="sum" dataDxfId="15" totalsRowDxfId="14" dataCellStyle="Komma">
      <calculatedColumnFormula>SUM(Tabelle1356[[#This Row],[Aufwendung CH*]:[Aufwendung AT]])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D5AFD0-79F6-469E-870A-34786434F834}" name="Tabelle134" displayName="Tabelle134" ref="A1:F25" totalsRowCount="1" headerRowDxfId="13" dataDxfId="12">
  <autoFilter ref="A1:F24" xr:uid="{12D5AFD0-79F6-469E-870A-34786434F8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2599650-888A-49F6-8DFF-AE262A5D9215}" name="Jahr" totalsRowLabel="Ergebnis" dataDxfId="11" totalsRowDxfId="10"/>
    <tableColumn id="2" xr3:uid="{0964A6C0-DD1F-499D-B3F1-2714709182D5}" name="Reingewinn CH*" totalsRowFunction="sum" dataDxfId="9" totalsRowDxfId="8">
      <calculatedColumnFormula>Tabelle135[[#This Row],[Gewinn CH*]]-Tabelle1356[[#This Row],[Aufwendung CH*]]</calculatedColumnFormula>
    </tableColumn>
    <tableColumn id="3" xr3:uid="{6EC711F1-EAD0-478D-A02A-E7A7A884483E}" name="Reingewinn DE" totalsRowFunction="sum" dataDxfId="7" totalsRowDxfId="6">
      <calculatedColumnFormula>Tabelle135[[#This Row],[Gewinn DE]]-Tabelle1356[[#This Row],[Aufwendung DE]]</calculatedColumnFormula>
    </tableColumn>
    <tableColumn id="4" xr3:uid="{F425AA60-C057-4188-BA5E-308BB1C53BB6}" name="Reingewinn FR" totalsRowFunction="sum" dataDxfId="5" totalsRowDxfId="4">
      <calculatedColumnFormula>Tabelle135[[#This Row],[Gewinn FR]]-Tabelle1356[[#This Row],[Aufwendung FR]]</calculatedColumnFormula>
    </tableColumn>
    <tableColumn id="5" xr3:uid="{0C4326F4-C185-4863-B3AA-B2F158071A5B}" name="Reingewinn AT" totalsRowFunction="sum" dataDxfId="3" totalsRowDxfId="2">
      <calculatedColumnFormula>Tabelle135[[#This Row],[Gewinn AT]]-Tabelle1356[[#This Row],[Aufwendung AT]]</calculatedColumnFormula>
    </tableColumn>
    <tableColumn id="6" xr3:uid="{3F6B97AA-E9D0-490A-B262-2678D2A42503}" name="Total Reingewinn" totalsRowFunction="sum" dataDxfId="1" totalsRowDxfId="0">
      <calculatedColumnFormula>SUM(Tabelle134[[#This Row],[Reingewinn CH*]:[Reingewinn AT]])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600C9-5FD6-465E-93F7-323970B89690}">
  <dimension ref="A1:F26"/>
  <sheetViews>
    <sheetView tabSelected="1" workbookViewId="0">
      <selection activeCell="J31" sqref="J31"/>
    </sheetView>
  </sheetViews>
  <sheetFormatPr baseColWidth="10" defaultRowHeight="14.4" x14ac:dyDescent="0.55000000000000004"/>
  <cols>
    <col min="2" max="6" width="13.68359375" customWidth="1"/>
  </cols>
  <sheetData>
    <row r="1" spans="1:6" x14ac:dyDescent="0.55000000000000004">
      <c r="A1" s="1" t="s">
        <v>0</v>
      </c>
      <c r="B1" s="1" t="s">
        <v>5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55000000000000004">
      <c r="A2" s="1">
        <v>2002</v>
      </c>
      <c r="B2" s="2">
        <f>[1]!Tabelle1[[#This Row],[Umsatz CH*]]</f>
        <v>652300</v>
      </c>
      <c r="C2" s="2">
        <f>[2]!Tabelle1[[#This Row],[Umsatz DE]]</f>
        <v>1258730</v>
      </c>
      <c r="D2" s="2">
        <f>[3]!Tabelle1[[#This Row],[Umsatz FR]]</f>
        <v>18756420</v>
      </c>
      <c r="E2" s="2">
        <f>[4]!Tabelle1[[#This Row],[Umsatz AT]]</f>
        <v>8245000</v>
      </c>
      <c r="F2" s="2">
        <f>SUM(Tabelle1[[#This Row],[Umsatz CH*]:[Umsatz AT]])</f>
        <v>28912450</v>
      </c>
    </row>
    <row r="3" spans="1:6" x14ac:dyDescent="0.55000000000000004">
      <c r="A3" s="1">
        <v>2003</v>
      </c>
      <c r="B3" s="2">
        <f>[1]!Tabelle1[[#This Row],[Umsatz CH*]]</f>
        <v>664100</v>
      </c>
      <c r="C3" s="2">
        <f>[2]!Tabelle1[[#This Row],[Umsatz DE]]</f>
        <v>1425870</v>
      </c>
      <c r="D3" s="2">
        <f>[3]!Tabelle1[[#This Row],[Umsatz FR]]</f>
        <v>18567210</v>
      </c>
      <c r="E3" s="2">
        <f>[4]!Tabelle1[[#This Row],[Umsatz AT]]</f>
        <v>8542070</v>
      </c>
      <c r="F3" s="2">
        <f>SUM(Tabelle1[[#This Row],[Umsatz CH*]:[Umsatz AT]])</f>
        <v>29199250</v>
      </c>
    </row>
    <row r="4" spans="1:6" x14ac:dyDescent="0.55000000000000004">
      <c r="A4" s="1">
        <v>2004</v>
      </c>
      <c r="B4" s="2">
        <f>[1]!Tabelle1[[#This Row],[Umsatz CH*]]</f>
        <v>671300</v>
      </c>
      <c r="C4" s="2">
        <f>[2]!Tabelle1[[#This Row],[Umsatz DE]]</f>
        <v>1562030</v>
      </c>
      <c r="D4" s="2">
        <f>[3]!Tabelle1[[#This Row],[Umsatz FR]]</f>
        <v>19587420</v>
      </c>
      <c r="E4" s="2">
        <f>[4]!Tabelle1[[#This Row],[Umsatz AT]]</f>
        <v>9012050</v>
      </c>
      <c r="F4" s="2">
        <f>SUM(Tabelle1[[#This Row],[Umsatz CH*]:[Umsatz AT]])</f>
        <v>30832800</v>
      </c>
    </row>
    <row r="5" spans="1:6" x14ac:dyDescent="0.55000000000000004">
      <c r="A5" s="1">
        <v>2005</v>
      </c>
      <c r="B5" s="2">
        <f>[1]!Tabelle1[[#This Row],[Umsatz CH*]]</f>
        <v>601230</v>
      </c>
      <c r="C5" s="2">
        <f>[2]!Tabelle1[[#This Row],[Umsatz DE]]</f>
        <v>1586510</v>
      </c>
      <c r="D5" s="2">
        <f>[3]!Tabelle1[[#This Row],[Umsatz FR]]</f>
        <v>19562410</v>
      </c>
      <c r="E5" s="2">
        <f>[4]!Tabelle1[[#This Row],[Umsatz AT]]</f>
        <v>9158020</v>
      </c>
      <c r="F5" s="2">
        <f>SUM(Tabelle1[[#This Row],[Umsatz CH*]:[Umsatz AT]])</f>
        <v>30908170</v>
      </c>
    </row>
    <row r="6" spans="1:6" x14ac:dyDescent="0.55000000000000004">
      <c r="A6" s="1">
        <v>2006</v>
      </c>
      <c r="B6" s="2">
        <f>[1]!Tabelle1[[#This Row],[Umsatz CH*]]</f>
        <v>651400</v>
      </c>
      <c r="C6" s="2">
        <f>[2]!Tabelle1[[#This Row],[Umsatz DE]]</f>
        <v>1604800</v>
      </c>
      <c r="D6" s="2">
        <f>[3]!Tabelle1[[#This Row],[Umsatz FR]]</f>
        <v>19856240</v>
      </c>
      <c r="E6" s="2">
        <f>[4]!Tabelle1[[#This Row],[Umsatz AT]]</f>
        <v>9350760</v>
      </c>
      <c r="F6" s="2">
        <f>SUM(Tabelle1[[#This Row],[Umsatz CH*]:[Umsatz AT]])</f>
        <v>31463200</v>
      </c>
    </row>
    <row r="7" spans="1:6" x14ac:dyDescent="0.55000000000000004">
      <c r="A7" s="1">
        <v>2007</v>
      </c>
      <c r="B7" s="2">
        <f>[1]!Tabelle1[[#This Row],[Umsatz CH*]]</f>
        <v>692500</v>
      </c>
      <c r="C7" s="2">
        <f>[2]!Tabelle1[[#This Row],[Umsatz DE]]</f>
        <v>1642510</v>
      </c>
      <c r="D7" s="2">
        <f>[3]!Tabelle1[[#This Row],[Umsatz FR]]</f>
        <v>19946170</v>
      </c>
      <c r="E7" s="2">
        <f>[4]!Tabelle1[[#This Row],[Umsatz AT]]</f>
        <v>9320570</v>
      </c>
      <c r="F7" s="2">
        <f>SUM(Tabelle1[[#This Row],[Umsatz CH*]:[Umsatz AT]])</f>
        <v>31601750</v>
      </c>
    </row>
    <row r="8" spans="1:6" x14ac:dyDescent="0.55000000000000004">
      <c r="A8" s="1">
        <v>2008</v>
      </c>
      <c r="B8" s="2">
        <f>[1]!Tabelle1[[#This Row],[Umsatz CH*]]</f>
        <v>673210</v>
      </c>
      <c r="C8" s="2">
        <f>[2]!Tabelle1[[#This Row],[Umsatz DE]]</f>
        <v>1674510</v>
      </c>
      <c r="D8" s="2">
        <f>[3]!Tabelle1[[#This Row],[Umsatz FR]]</f>
        <v>20485620</v>
      </c>
      <c r="E8" s="2">
        <f>[4]!Tabelle1[[#This Row],[Umsatz AT]]</f>
        <v>9605080</v>
      </c>
      <c r="F8" s="2">
        <f>SUM(Tabelle1[[#This Row],[Umsatz CH*]:[Umsatz AT]])</f>
        <v>32438420</v>
      </c>
    </row>
    <row r="9" spans="1:6" x14ac:dyDescent="0.55000000000000004">
      <c r="A9" s="1">
        <v>2009</v>
      </c>
      <c r="B9" s="2">
        <f>[1]!Tabelle1[[#This Row],[Umsatz CH*]]</f>
        <v>684500</v>
      </c>
      <c r="C9" s="2">
        <f>[2]!Tabelle1[[#This Row],[Umsatz DE]]</f>
        <v>1692430</v>
      </c>
      <c r="D9" s="2">
        <f>[3]!Tabelle1[[#This Row],[Umsatz FR]]</f>
        <v>20175390</v>
      </c>
      <c r="E9" s="2">
        <f>[4]!Tabelle1[[#This Row],[Umsatz AT]]</f>
        <v>9850640</v>
      </c>
      <c r="F9" s="2">
        <f>SUM(Tabelle1[[#This Row],[Umsatz CH*]:[Umsatz AT]])</f>
        <v>32402960</v>
      </c>
    </row>
    <row r="10" spans="1:6" x14ac:dyDescent="0.55000000000000004">
      <c r="A10" s="1">
        <v>2010</v>
      </c>
      <c r="B10" s="2">
        <f>[1]!Tabelle1[[#This Row],[Umsatz CH*]]</f>
        <v>700120</v>
      </c>
      <c r="C10" s="2">
        <f>[2]!Tabelle1[[#This Row],[Umsatz DE]]</f>
        <v>1732500</v>
      </c>
      <c r="D10" s="2">
        <f>[3]!Tabelle1[[#This Row],[Umsatz FR]]</f>
        <v>20357950</v>
      </c>
      <c r="E10" s="2">
        <f>[4]!Tabelle1[[#This Row],[Umsatz AT]]</f>
        <v>10842060</v>
      </c>
      <c r="F10" s="2">
        <f>SUM(Tabelle1[[#This Row],[Umsatz CH*]:[Umsatz AT]])</f>
        <v>33632630</v>
      </c>
    </row>
    <row r="11" spans="1:6" x14ac:dyDescent="0.55000000000000004">
      <c r="A11" s="1">
        <v>2011</v>
      </c>
      <c r="B11" s="2">
        <f>[1]!Tabelle1[[#This Row],[Umsatz CH*]]</f>
        <v>684560</v>
      </c>
      <c r="C11" s="2">
        <f>[2]!Tabelle1[[#This Row],[Umsatz DE]]</f>
        <v>1725430</v>
      </c>
      <c r="D11" s="2">
        <f>[3]!Tabelle1[[#This Row],[Umsatz FR]]</f>
        <v>21094620</v>
      </c>
      <c r="E11" s="2">
        <f>[4]!Tabelle1[[#This Row],[Umsatz AT]]</f>
        <v>10908540</v>
      </c>
      <c r="F11" s="2">
        <f>SUM(Tabelle1[[#This Row],[Umsatz CH*]:[Umsatz AT]])</f>
        <v>34413150</v>
      </c>
    </row>
    <row r="12" spans="1:6" x14ac:dyDescent="0.55000000000000004">
      <c r="A12" s="1">
        <v>2012</v>
      </c>
      <c r="B12" s="2">
        <f>[1]!Tabelle1[[#This Row],[Umsatz CH*]]</f>
        <v>694120</v>
      </c>
      <c r="C12" s="2">
        <f>[2]!Tabelle1[[#This Row],[Umsatz DE]]</f>
        <v>1715480</v>
      </c>
      <c r="D12" s="2">
        <f>[3]!Tabelle1[[#This Row],[Umsatz FR]]</f>
        <v>21753940</v>
      </c>
      <c r="E12" s="2">
        <f>[4]!Tabelle1[[#This Row],[Umsatz AT]]</f>
        <v>11205840</v>
      </c>
      <c r="F12" s="2">
        <f>SUM(Tabelle1[[#This Row],[Umsatz CH*]:[Umsatz AT]])</f>
        <v>35369380</v>
      </c>
    </row>
    <row r="13" spans="1:6" x14ac:dyDescent="0.55000000000000004">
      <c r="A13" s="1">
        <v>2013</v>
      </c>
      <c r="B13" s="2">
        <f>[1]!Tabelle1[[#This Row],[Umsatz CH*]]</f>
        <v>709250</v>
      </c>
      <c r="C13" s="2">
        <f>[2]!Tabelle1[[#This Row],[Umsatz DE]]</f>
        <v>1762310</v>
      </c>
      <c r="D13" s="2">
        <f>[3]!Tabelle1[[#This Row],[Umsatz FR]]</f>
        <v>21798530</v>
      </c>
      <c r="E13" s="2">
        <f>[4]!Tabelle1[[#This Row],[Umsatz AT]]</f>
        <v>11840230</v>
      </c>
      <c r="F13" s="2">
        <f>SUM(Tabelle1[[#This Row],[Umsatz CH*]:[Umsatz AT]])</f>
        <v>36110320</v>
      </c>
    </row>
    <row r="14" spans="1:6" x14ac:dyDescent="0.55000000000000004">
      <c r="A14" s="1">
        <v>2014</v>
      </c>
      <c r="B14" s="2">
        <f>[1]!Tabelle1[[#This Row],[Umsatz CH*]]</f>
        <v>712380</v>
      </c>
      <c r="C14" s="2">
        <f>[2]!Tabelle1[[#This Row],[Umsatz DE]]</f>
        <v>1775430</v>
      </c>
      <c r="D14" s="2">
        <f>[3]!Tabelle1[[#This Row],[Umsatz FR]]</f>
        <v>22478610</v>
      </c>
      <c r="E14" s="2">
        <f>[4]!Tabelle1[[#This Row],[Umsatz AT]]</f>
        <v>12073090</v>
      </c>
      <c r="F14" s="2">
        <f>SUM(Tabelle1[[#This Row],[Umsatz CH*]:[Umsatz AT]])</f>
        <v>37039510</v>
      </c>
    </row>
    <row r="15" spans="1:6" x14ac:dyDescent="0.55000000000000004">
      <c r="A15" s="1">
        <v>1015</v>
      </c>
      <c r="B15" s="2">
        <f>[1]!Tabelle1[[#This Row],[Umsatz CH*]]</f>
        <v>710050</v>
      </c>
      <c r="C15" s="2">
        <f>[2]!Tabelle1[[#This Row],[Umsatz DE]]</f>
        <v>1754120</v>
      </c>
      <c r="D15" s="2">
        <f>[3]!Tabelle1[[#This Row],[Umsatz FR]]</f>
        <v>22978540</v>
      </c>
      <c r="E15" s="2">
        <f>[4]!Tabelle1[[#This Row],[Umsatz AT]]</f>
        <v>12103840</v>
      </c>
      <c r="F15" s="2">
        <f>SUM(Tabelle1[[#This Row],[Umsatz CH*]:[Umsatz AT]])</f>
        <v>37546550</v>
      </c>
    </row>
    <row r="16" spans="1:6" x14ac:dyDescent="0.55000000000000004">
      <c r="A16" s="1">
        <v>2016</v>
      </c>
      <c r="B16" s="2">
        <f>[1]!Tabelle1[[#This Row],[Umsatz CH*]]</f>
        <v>703650</v>
      </c>
      <c r="C16" s="2">
        <f>[2]!Tabelle1[[#This Row],[Umsatz DE]]</f>
        <v>1742150</v>
      </c>
      <c r="D16" s="2">
        <f>[3]!Tabelle1[[#This Row],[Umsatz FR]]</f>
        <v>23195760</v>
      </c>
      <c r="E16" s="2">
        <f>[4]!Tabelle1[[#This Row],[Umsatz AT]]</f>
        <v>12735040</v>
      </c>
      <c r="F16" s="2">
        <f>SUM(Tabelle1[[#This Row],[Umsatz CH*]:[Umsatz AT]])</f>
        <v>38376600</v>
      </c>
    </row>
    <row r="17" spans="1:6" x14ac:dyDescent="0.55000000000000004">
      <c r="A17" s="1">
        <v>2017</v>
      </c>
      <c r="B17" s="2">
        <f>[1]!Tabelle1[[#This Row],[Umsatz CH*]]</f>
        <v>740530</v>
      </c>
      <c r="C17" s="2">
        <f>[2]!Tabelle1[[#This Row],[Umsatz DE]]</f>
        <v>1783510</v>
      </c>
      <c r="D17" s="2">
        <f>[3]!Tabelle1[[#This Row],[Umsatz FR]]</f>
        <v>23048650</v>
      </c>
      <c r="E17" s="2">
        <f>[4]!Tabelle1[[#This Row],[Umsatz AT]]</f>
        <v>13580940</v>
      </c>
      <c r="F17" s="2">
        <f>SUM(Tabelle1[[#This Row],[Umsatz CH*]:[Umsatz AT]])</f>
        <v>39153630</v>
      </c>
    </row>
    <row r="18" spans="1:6" x14ac:dyDescent="0.55000000000000004">
      <c r="A18" s="1">
        <v>2018</v>
      </c>
      <c r="B18" s="2">
        <f>[1]!Tabelle1[[#This Row],[Umsatz CH*]]</f>
        <v>752310</v>
      </c>
      <c r="C18" s="2">
        <f>[2]!Tabelle1[[#This Row],[Umsatz DE]]</f>
        <v>1795410</v>
      </c>
      <c r="D18" s="2">
        <f>[3]!Tabelle1[[#This Row],[Umsatz FR]]</f>
        <v>22894560</v>
      </c>
      <c r="E18" s="2">
        <f>[4]!Tabelle1[[#This Row],[Umsatz AT]]</f>
        <v>13075040</v>
      </c>
      <c r="F18" s="2">
        <f>SUM(Tabelle1[[#This Row],[Umsatz CH*]:[Umsatz AT]])</f>
        <v>38517320</v>
      </c>
    </row>
    <row r="19" spans="1:6" x14ac:dyDescent="0.55000000000000004">
      <c r="A19" s="1">
        <v>2019</v>
      </c>
      <c r="B19" s="2">
        <f>[1]!Tabelle1[[#This Row],[Umsatz CH*]]</f>
        <v>741000</v>
      </c>
      <c r="C19" s="2">
        <f>[2]!Tabelle1[[#This Row],[Umsatz DE]]</f>
        <v>1801560</v>
      </c>
      <c r="D19" s="2">
        <f>[3]!Tabelle1[[#This Row],[Umsatz FR]]</f>
        <v>23874520</v>
      </c>
      <c r="E19" s="2">
        <f>[4]!Tabelle1[[#This Row],[Umsatz AT]]</f>
        <v>13205760</v>
      </c>
      <c r="F19" s="2">
        <f>SUM(Tabelle1[[#This Row],[Umsatz CH*]:[Umsatz AT]])</f>
        <v>39622840</v>
      </c>
    </row>
    <row r="20" spans="1:6" x14ac:dyDescent="0.55000000000000004">
      <c r="A20" s="1">
        <v>2020</v>
      </c>
      <c r="B20" s="2">
        <f>[1]!Tabelle1[[#This Row],[Umsatz CH*]]</f>
        <v>732510</v>
      </c>
      <c r="C20" s="2">
        <f>[2]!Tabelle1[[#This Row],[Umsatz DE]]</f>
        <v>1812540</v>
      </c>
      <c r="D20" s="2">
        <f>[3]!Tabelle1[[#This Row],[Umsatz FR]]</f>
        <v>24689510</v>
      </c>
      <c r="E20" s="2">
        <f>[4]!Tabelle1[[#This Row],[Umsatz AT]]</f>
        <v>13450490</v>
      </c>
      <c r="F20" s="2">
        <f>SUM(Tabelle1[[#This Row],[Umsatz CH*]:[Umsatz AT]])</f>
        <v>40685050</v>
      </c>
    </row>
    <row r="21" spans="1:6" x14ac:dyDescent="0.55000000000000004">
      <c r="A21" s="1">
        <v>2021</v>
      </c>
      <c r="B21" s="2">
        <f>[1]!Tabelle1[[#This Row],[Umsatz CH*]]</f>
        <v>783560</v>
      </c>
      <c r="C21" s="2">
        <f>[2]!Tabelle1[[#This Row],[Umsatz DE]]</f>
        <v>1753020</v>
      </c>
      <c r="D21" s="2">
        <f>[3]!Tabelle1[[#This Row],[Umsatz FR]]</f>
        <v>21754690</v>
      </c>
      <c r="E21" s="2">
        <f>[4]!Tabelle1[[#This Row],[Umsatz AT]]</f>
        <v>12845090</v>
      </c>
      <c r="F21" s="2">
        <f>SUM(Tabelle1[[#This Row],[Umsatz CH*]:[Umsatz AT]])</f>
        <v>37136360</v>
      </c>
    </row>
    <row r="22" spans="1:6" x14ac:dyDescent="0.55000000000000004">
      <c r="A22" s="1">
        <v>2022</v>
      </c>
      <c r="B22" s="2">
        <f>[1]!Tabelle1[[#This Row],[Umsatz CH*]]</f>
        <v>698450</v>
      </c>
      <c r="C22" s="2">
        <f>[2]!Tabelle1[[#This Row],[Umsatz DE]]</f>
        <v>1542810</v>
      </c>
      <c r="D22" s="2">
        <f>[3]!Tabelle1[[#This Row],[Umsatz FR]]</f>
        <v>20876210</v>
      </c>
      <c r="E22" s="2">
        <f>[4]!Tabelle1[[#This Row],[Umsatz AT]]</f>
        <v>10520430</v>
      </c>
      <c r="F22" s="2">
        <f>SUM(Tabelle1[[#This Row],[Umsatz CH*]:[Umsatz AT]])</f>
        <v>33637900</v>
      </c>
    </row>
    <row r="23" spans="1:6" x14ac:dyDescent="0.55000000000000004">
      <c r="A23" s="1">
        <v>2023</v>
      </c>
      <c r="B23" s="2">
        <f>[1]!Tabelle1[[#This Row],[Umsatz CH*]]</f>
        <v>654290</v>
      </c>
      <c r="C23" s="2">
        <f>[2]!Tabelle1[[#This Row],[Umsatz DE]]</f>
        <v>1427830</v>
      </c>
      <c r="D23" s="2">
        <f>[3]!Tabelle1[[#This Row],[Umsatz FR]]</f>
        <v>19578430</v>
      </c>
      <c r="E23" s="2">
        <f>[4]!Tabelle1[[#This Row],[Umsatz AT]]</f>
        <v>9750640</v>
      </c>
      <c r="F23" s="2">
        <f>SUM(Tabelle1[[#This Row],[Umsatz CH*]:[Umsatz AT]])</f>
        <v>31411190</v>
      </c>
    </row>
    <row r="24" spans="1:6" x14ac:dyDescent="0.55000000000000004">
      <c r="A24" s="1">
        <v>2024</v>
      </c>
      <c r="B24" s="2">
        <f>[1]!Tabelle1[[#This Row],[Umsatz CH*]]</f>
        <v>694260</v>
      </c>
      <c r="C24" s="2">
        <f>[2]!Tabelle1[[#This Row],[Umsatz DE]]</f>
        <v>1529410</v>
      </c>
      <c r="D24" s="2">
        <f>[3]!Tabelle1[[#This Row],[Umsatz FR]]</f>
        <v>17552970</v>
      </c>
      <c r="E24" s="2">
        <f>[4]!Tabelle1[[#This Row],[Umsatz AT]]</f>
        <v>8304500</v>
      </c>
      <c r="F24" s="2">
        <f>SUM(Tabelle1[[#This Row],[Umsatz CH*]:[Umsatz AT]])</f>
        <v>28081140</v>
      </c>
    </row>
    <row r="26" spans="1:6" x14ac:dyDescent="0.55000000000000004">
      <c r="A26" t="s">
        <v>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2F5A-6E92-43BF-8473-9F7B1FCC2ACB}">
  <dimension ref="A1:F26"/>
  <sheetViews>
    <sheetView workbookViewId="0">
      <selection activeCell="A2" sqref="A2:A24"/>
    </sheetView>
  </sheetViews>
  <sheetFormatPr baseColWidth="10" defaultRowHeight="14.4" x14ac:dyDescent="0.55000000000000004"/>
  <sheetData>
    <row r="1" spans="1:6" x14ac:dyDescent="0.55000000000000004">
      <c r="A1" s="1" t="s">
        <v>0</v>
      </c>
      <c r="B1" s="1" t="s">
        <v>11</v>
      </c>
      <c r="C1" s="1" t="s">
        <v>7</v>
      </c>
      <c r="D1" s="1" t="s">
        <v>8</v>
      </c>
      <c r="E1" s="1" t="s">
        <v>9</v>
      </c>
      <c r="F1" s="1" t="s">
        <v>10</v>
      </c>
    </row>
    <row r="2" spans="1:6" x14ac:dyDescent="0.55000000000000004">
      <c r="A2" s="1">
        <v>2002</v>
      </c>
      <c r="B2" s="2">
        <f>[1]!Tabelle1[[#This Row],[Kosten CH*]]</f>
        <v>562100</v>
      </c>
      <c r="C2" s="2">
        <f>[2]!Tabelle1[[#This Row],[Kosten DE]]</f>
        <v>847520</v>
      </c>
      <c r="D2" s="2">
        <f>[3]!Tabelle1[[#This Row],[Kosten FR]]</f>
        <v>15678250</v>
      </c>
      <c r="E2" s="2">
        <f>[4]!Tabelle1[[#This Row],[Kosten AT]]</f>
        <v>6687420</v>
      </c>
      <c r="F2" s="2">
        <f>SUM(Tabelle13[[#This Row],[Kosten CH*]:[Kosten AT]])</f>
        <v>23775290</v>
      </c>
    </row>
    <row r="3" spans="1:6" x14ac:dyDescent="0.55000000000000004">
      <c r="A3" s="1">
        <v>2003</v>
      </c>
      <c r="B3" s="2">
        <f>[1]!Tabelle1[[#This Row],[Kosten CH*]]</f>
        <v>542530</v>
      </c>
      <c r="C3" s="2">
        <f>[2]!Tabelle1[[#This Row],[Kosten DE]]</f>
        <v>985210</v>
      </c>
      <c r="D3" s="2">
        <f>[3]!Tabelle1[[#This Row],[Kosten FR]]</f>
        <v>15798820</v>
      </c>
      <c r="E3" s="2">
        <f>[4]!Tabelle1[[#This Row],[Kosten AT]]</f>
        <v>7024050</v>
      </c>
      <c r="F3" s="2">
        <f>SUM(Tabelle13[[#This Row],[Kosten CH*]:[Kosten AT]])</f>
        <v>24350610</v>
      </c>
    </row>
    <row r="4" spans="1:6" x14ac:dyDescent="0.55000000000000004">
      <c r="A4" s="1">
        <v>2004</v>
      </c>
      <c r="B4" s="2">
        <f>[1]!Tabelle1[[#This Row],[Kosten CH*]]</f>
        <v>534560</v>
      </c>
      <c r="C4" s="2">
        <f>[2]!Tabelle1[[#This Row],[Kosten DE]]</f>
        <v>1487250</v>
      </c>
      <c r="D4" s="2">
        <f>[3]!Tabelle1[[#This Row],[Kosten FR]]</f>
        <v>14258950</v>
      </c>
      <c r="E4" s="2">
        <f>[4]!Tabelle1[[#This Row],[Kosten AT]]</f>
        <v>7302040</v>
      </c>
      <c r="F4" s="2">
        <f>SUM(Tabelle13[[#This Row],[Kosten CH*]:[Kosten AT]])</f>
        <v>23582800</v>
      </c>
    </row>
    <row r="5" spans="1:6" x14ac:dyDescent="0.55000000000000004">
      <c r="A5" s="1">
        <v>2005</v>
      </c>
      <c r="B5" s="2">
        <f>[1]!Tabelle1[[#This Row],[Kosten CH*]]</f>
        <v>546810</v>
      </c>
      <c r="C5" s="2">
        <f>[2]!Tabelle1[[#This Row],[Kosten DE]]</f>
        <v>1358720</v>
      </c>
      <c r="D5" s="2">
        <f>[3]!Tabelle1[[#This Row],[Kosten FR]]</f>
        <v>16587420</v>
      </c>
      <c r="E5" s="2">
        <f>[4]!Tabelle1[[#This Row],[Kosten AT]]</f>
        <v>7205420</v>
      </c>
      <c r="F5" s="2">
        <f>SUM(Tabelle13[[#This Row],[Kosten CH*]:[Kosten AT]])</f>
        <v>25698370</v>
      </c>
    </row>
    <row r="6" spans="1:6" x14ac:dyDescent="0.55000000000000004">
      <c r="A6" s="1">
        <v>2006</v>
      </c>
      <c r="B6" s="2">
        <f>[1]!Tabelle1[[#This Row],[Kosten CH*]]</f>
        <v>576120</v>
      </c>
      <c r="C6" s="2">
        <f>[2]!Tabelle1[[#This Row],[Kosten DE]]</f>
        <v>1298720</v>
      </c>
      <c r="D6" s="2">
        <f>[3]!Tabelle1[[#This Row],[Kosten FR]]</f>
        <v>18275620</v>
      </c>
      <c r="E6" s="2">
        <f>[4]!Tabelle1[[#This Row],[Kosten AT]]</f>
        <v>7350940</v>
      </c>
      <c r="F6" s="2">
        <f>SUM(Tabelle13[[#This Row],[Kosten CH*]:[Kosten AT]])</f>
        <v>27501400</v>
      </c>
    </row>
    <row r="7" spans="1:6" x14ac:dyDescent="0.55000000000000004">
      <c r="A7" s="1">
        <v>2007</v>
      </c>
      <c r="B7" s="2">
        <f>[1]!Tabelle1[[#This Row],[Kosten CH*]]</f>
        <v>584120</v>
      </c>
      <c r="C7" s="2">
        <f>[2]!Tabelle1[[#This Row],[Kosten DE]]</f>
        <v>1628457</v>
      </c>
      <c r="D7" s="2">
        <f>[3]!Tabelle1[[#This Row],[Kosten FR]]</f>
        <v>16597820</v>
      </c>
      <c r="E7" s="2">
        <f>[4]!Tabelle1[[#This Row],[Kosten AT]]</f>
        <v>7190540</v>
      </c>
      <c r="F7" s="2">
        <f>SUM(Tabelle13[[#This Row],[Kosten CH*]:[Kosten AT]])</f>
        <v>26000937</v>
      </c>
    </row>
    <row r="8" spans="1:6" x14ac:dyDescent="0.55000000000000004">
      <c r="A8" s="1">
        <v>2008</v>
      </c>
      <c r="B8" s="2">
        <f>[1]!Tabelle1[[#This Row],[Kosten CH*]]</f>
        <v>591420</v>
      </c>
      <c r="C8" s="2">
        <f>[2]!Tabelle1[[#This Row],[Kosten DE]]</f>
        <v>1578940</v>
      </c>
      <c r="D8" s="2">
        <f>[3]!Tabelle1[[#This Row],[Kosten FR]]</f>
        <v>16897450</v>
      </c>
      <c r="E8" s="2">
        <f>[4]!Tabelle1[[#This Row],[Kosten AT]]</f>
        <v>7650240</v>
      </c>
      <c r="F8" s="2">
        <f>SUM(Tabelle13[[#This Row],[Kosten CH*]:[Kosten AT]])</f>
        <v>26718050</v>
      </c>
    </row>
    <row r="9" spans="1:6" x14ac:dyDescent="0.55000000000000004">
      <c r="A9" s="1">
        <v>2009</v>
      </c>
      <c r="B9" s="2">
        <f>[1]!Tabelle1[[#This Row],[Kosten CH*]]</f>
        <v>601250</v>
      </c>
      <c r="C9" s="2">
        <f>[2]!Tabelle1[[#This Row],[Kosten DE]]</f>
        <v>1593850</v>
      </c>
      <c r="D9" s="2">
        <f>[3]!Tabelle1[[#This Row],[Kosten FR]]</f>
        <v>17854620</v>
      </c>
      <c r="E9" s="2">
        <f>[4]!Tabelle1[[#This Row],[Kosten AT]]</f>
        <v>7308040</v>
      </c>
      <c r="F9" s="2">
        <f>SUM(Tabelle13[[#This Row],[Kosten CH*]:[Kosten AT]])</f>
        <v>27357760</v>
      </c>
    </row>
    <row r="10" spans="1:6" x14ac:dyDescent="0.55000000000000004">
      <c r="A10" s="1">
        <v>2010</v>
      </c>
      <c r="B10" s="2">
        <f>[1]!Tabelle1[[#This Row],[Kosten CH*]]</f>
        <v>589210</v>
      </c>
      <c r="C10" s="2">
        <f>[2]!Tabelle1[[#This Row],[Kosten DE]]</f>
        <v>1679510</v>
      </c>
      <c r="D10" s="2">
        <f>[3]!Tabelle1[[#This Row],[Kosten FR]]</f>
        <v>18573120</v>
      </c>
      <c r="E10" s="2">
        <f>[4]!Tabelle1[[#This Row],[Kosten AT]]</f>
        <v>8705604</v>
      </c>
      <c r="F10" s="2">
        <f>SUM(Tabelle13[[#This Row],[Kosten CH*]:[Kosten AT]])</f>
        <v>29547444</v>
      </c>
    </row>
    <row r="11" spans="1:6" x14ac:dyDescent="0.55000000000000004">
      <c r="A11" s="1">
        <v>2011</v>
      </c>
      <c r="B11" s="2">
        <f>[1]!Tabelle1[[#This Row],[Kosten CH*]]</f>
        <v>612410</v>
      </c>
      <c r="C11" s="2">
        <f>[2]!Tabelle1[[#This Row],[Kosten DE]]</f>
        <v>1683420</v>
      </c>
      <c r="D11" s="2">
        <f>[3]!Tabelle1[[#This Row],[Kosten FR]]</f>
        <v>19479650</v>
      </c>
      <c r="E11" s="2">
        <f>[4]!Tabelle1[[#This Row],[Kosten AT]]</f>
        <v>8650420</v>
      </c>
      <c r="F11" s="2">
        <f>SUM(Tabelle13[[#This Row],[Kosten CH*]:[Kosten AT]])</f>
        <v>30425900</v>
      </c>
    </row>
    <row r="12" spans="1:6" x14ac:dyDescent="0.55000000000000004">
      <c r="A12" s="1">
        <v>2012</v>
      </c>
      <c r="B12" s="2">
        <f>[1]!Tabelle1[[#This Row],[Kosten CH*]]</f>
        <v>602350</v>
      </c>
      <c r="C12" s="2">
        <f>[2]!Tabelle1[[#This Row],[Kosten DE]]</f>
        <v>1695420</v>
      </c>
      <c r="D12" s="2">
        <f>[3]!Tabelle1[[#This Row],[Kosten FR]]</f>
        <v>19460730</v>
      </c>
      <c r="E12" s="2">
        <f>[4]!Tabelle1[[#This Row],[Kosten AT]]</f>
        <v>8950640</v>
      </c>
      <c r="F12" s="2">
        <f>SUM(Tabelle13[[#This Row],[Kosten CH*]:[Kosten AT]])</f>
        <v>30709140</v>
      </c>
    </row>
    <row r="13" spans="1:6" x14ac:dyDescent="0.55000000000000004">
      <c r="A13" s="1">
        <v>2013</v>
      </c>
      <c r="B13" s="2">
        <f>[1]!Tabelle1[[#This Row],[Kosten CH*]]</f>
        <v>607540</v>
      </c>
      <c r="C13" s="2">
        <f>[2]!Tabelle1[[#This Row],[Kosten DE]]</f>
        <v>1632510</v>
      </c>
      <c r="D13" s="2">
        <f>[3]!Tabelle1[[#This Row],[Kosten FR]]</f>
        <v>19875620</v>
      </c>
      <c r="E13" s="2">
        <f>[4]!Tabelle1[[#This Row],[Kosten AT]]</f>
        <v>9045030</v>
      </c>
      <c r="F13" s="2">
        <f>SUM(Tabelle13[[#This Row],[Kosten CH*]:[Kosten AT]])</f>
        <v>31160700</v>
      </c>
    </row>
    <row r="14" spans="1:6" x14ac:dyDescent="0.55000000000000004">
      <c r="A14" s="1">
        <v>2014</v>
      </c>
      <c r="B14" s="2">
        <f>[1]!Tabelle1[[#This Row],[Kosten CH*]]</f>
        <v>612570</v>
      </c>
      <c r="C14" s="2">
        <f>[2]!Tabelle1[[#This Row],[Kosten DE]]</f>
        <v>1678530</v>
      </c>
      <c r="D14" s="2">
        <f>[3]!Tabelle1[[#This Row],[Kosten FR]]</f>
        <v>19964520</v>
      </c>
      <c r="E14" s="2">
        <f>[4]!Tabelle1[[#This Row],[Kosten AT]]</f>
        <v>9105040</v>
      </c>
      <c r="F14" s="2">
        <f>SUM(Tabelle13[[#This Row],[Kosten CH*]:[Kosten AT]])</f>
        <v>31360660</v>
      </c>
    </row>
    <row r="15" spans="1:6" x14ac:dyDescent="0.55000000000000004">
      <c r="A15" s="1">
        <v>1015</v>
      </c>
      <c r="B15" s="2">
        <f>[1]!Tabelle1[[#This Row],[Kosten CH*]]</f>
        <v>638420</v>
      </c>
      <c r="C15" s="2">
        <f>[2]!Tabelle1[[#This Row],[Kosten DE]]</f>
        <v>1751420</v>
      </c>
      <c r="D15" s="2">
        <f>[3]!Tabelle1[[#This Row],[Kosten FR]]</f>
        <v>21702540</v>
      </c>
      <c r="E15" s="2">
        <f>[4]!Tabelle1[[#This Row],[Kosten AT]]</f>
        <v>9207530</v>
      </c>
      <c r="F15" s="2">
        <f>SUM(Tabelle13[[#This Row],[Kosten CH*]:[Kosten AT]])</f>
        <v>33299910</v>
      </c>
    </row>
    <row r="16" spans="1:6" x14ac:dyDescent="0.55000000000000004">
      <c r="A16" s="1">
        <v>2016</v>
      </c>
      <c r="B16" s="2">
        <f>[1]!Tabelle1[[#This Row],[Kosten CH*]]</f>
        <v>624780</v>
      </c>
      <c r="C16" s="2">
        <f>[2]!Tabelle1[[#This Row],[Kosten DE]]</f>
        <v>1584320</v>
      </c>
      <c r="D16" s="2">
        <f>[3]!Tabelle1[[#This Row],[Kosten FR]]</f>
        <v>18456080</v>
      </c>
      <c r="E16" s="2">
        <f>[4]!Tabelle1[[#This Row],[Kosten AT]]</f>
        <v>9104320</v>
      </c>
      <c r="F16" s="2">
        <f>SUM(Tabelle13[[#This Row],[Kosten CH*]:[Kosten AT]])</f>
        <v>29769500</v>
      </c>
    </row>
    <row r="17" spans="1:6" x14ac:dyDescent="0.55000000000000004">
      <c r="A17" s="1">
        <v>2017</v>
      </c>
      <c r="B17" s="2">
        <f>[1]!Tabelle1[[#This Row],[Kosten CH*]]</f>
        <v>649820</v>
      </c>
      <c r="C17" s="2">
        <f>[2]!Tabelle1[[#This Row],[Kosten DE]]</f>
        <v>1648520</v>
      </c>
      <c r="D17" s="2">
        <f>[3]!Tabelle1[[#This Row],[Kosten FR]]</f>
        <v>20706340</v>
      </c>
      <c r="E17" s="2">
        <f>[4]!Tabelle1[[#This Row],[Kosten AT]]</f>
        <v>10130570</v>
      </c>
      <c r="F17" s="2">
        <f>SUM(Tabelle13[[#This Row],[Kosten CH*]:[Kosten AT]])</f>
        <v>33135250</v>
      </c>
    </row>
    <row r="18" spans="1:6" x14ac:dyDescent="0.55000000000000004">
      <c r="A18" s="1">
        <v>2018</v>
      </c>
      <c r="B18" s="2">
        <f>[1]!Tabelle1[[#This Row],[Kosten CH*]]</f>
        <v>671020</v>
      </c>
      <c r="C18" s="2">
        <f>[2]!Tabelle1[[#This Row],[Kosten DE]]</f>
        <v>1597630</v>
      </c>
      <c r="D18" s="2">
        <f>[3]!Tabelle1[[#This Row],[Kosten FR]]</f>
        <v>20956040</v>
      </c>
      <c r="E18" s="2">
        <f>[4]!Tabelle1[[#This Row],[Kosten AT]]</f>
        <v>10805470</v>
      </c>
      <c r="F18" s="2">
        <f>SUM(Tabelle13[[#This Row],[Kosten CH*]:[Kosten AT]])</f>
        <v>34030160</v>
      </c>
    </row>
    <row r="19" spans="1:6" x14ac:dyDescent="0.55000000000000004">
      <c r="A19" s="1">
        <v>2019</v>
      </c>
      <c r="B19" s="2">
        <f>[1]!Tabelle1[[#This Row],[Kosten CH*]]</f>
        <v>684210</v>
      </c>
      <c r="C19" s="2">
        <f>[2]!Tabelle1[[#This Row],[Kosten DE]]</f>
        <v>1497630</v>
      </c>
      <c r="D19" s="2">
        <f>[3]!Tabelle1[[#This Row],[Kosten FR]]</f>
        <v>22730450</v>
      </c>
      <c r="E19" s="2">
        <f>[4]!Tabelle1[[#This Row],[Kosten AT]]</f>
        <v>10045060</v>
      </c>
      <c r="F19" s="2">
        <f>SUM(Tabelle13[[#This Row],[Kosten CH*]:[Kosten AT]])</f>
        <v>34957350</v>
      </c>
    </row>
    <row r="20" spans="1:6" x14ac:dyDescent="0.55000000000000004">
      <c r="A20" s="1">
        <v>2020</v>
      </c>
      <c r="B20" s="2">
        <f>[1]!Tabelle1[[#This Row],[Kosten CH*]]</f>
        <v>679520</v>
      </c>
      <c r="C20" s="2">
        <f>[2]!Tabelle1[[#This Row],[Kosten DE]]</f>
        <v>1687390</v>
      </c>
      <c r="D20" s="2">
        <f>[3]!Tabelle1[[#This Row],[Kosten FR]]</f>
        <v>23809750</v>
      </c>
      <c r="E20" s="2">
        <f>[4]!Tabelle1[[#This Row],[Kosten AT]]</f>
        <v>10720540</v>
      </c>
      <c r="F20" s="2">
        <f>SUM(Tabelle13[[#This Row],[Kosten CH*]:[Kosten AT]])</f>
        <v>36897200</v>
      </c>
    </row>
    <row r="21" spans="1:6" x14ac:dyDescent="0.55000000000000004">
      <c r="A21" s="1">
        <v>2021</v>
      </c>
      <c r="B21" s="2">
        <f>[1]!Tabelle1[[#This Row],[Kosten CH*]]</f>
        <v>701580</v>
      </c>
      <c r="C21" s="2">
        <f>[2]!Tabelle1[[#This Row],[Kosten DE]]</f>
        <v>1489230</v>
      </c>
      <c r="D21" s="2">
        <f>[3]!Tabelle1[[#This Row],[Kosten FR]]</f>
        <v>19736500</v>
      </c>
      <c r="E21" s="2">
        <f>[4]!Tabelle1[[#This Row],[Kosten AT]]</f>
        <v>11030450</v>
      </c>
      <c r="F21" s="2">
        <f>SUM(Tabelle13[[#This Row],[Kosten CH*]:[Kosten AT]])</f>
        <v>32957760</v>
      </c>
    </row>
    <row r="22" spans="1:6" x14ac:dyDescent="0.55000000000000004">
      <c r="A22" s="1">
        <v>2022</v>
      </c>
      <c r="B22" s="2">
        <f>[1]!Tabelle1[[#This Row],[Kosten CH*]]</f>
        <v>689120</v>
      </c>
      <c r="C22" s="2">
        <f>[2]!Tabelle1[[#This Row],[Kosten DE]]</f>
        <v>1457920</v>
      </c>
      <c r="D22" s="2">
        <f>[3]!Tabelle1[[#This Row],[Kosten FR]]</f>
        <v>19078540</v>
      </c>
      <c r="E22" s="2">
        <f>[4]!Tabelle1[[#This Row],[Kosten AT]]</f>
        <v>9254050</v>
      </c>
      <c r="F22" s="2">
        <f>SUM(Tabelle13[[#This Row],[Kosten CH*]:[Kosten AT]])</f>
        <v>30479630</v>
      </c>
    </row>
    <row r="23" spans="1:6" x14ac:dyDescent="0.55000000000000004">
      <c r="A23" s="1">
        <v>2023</v>
      </c>
      <c r="B23" s="2">
        <f>[1]!Tabelle1[[#This Row],[Kosten CH*]]</f>
        <v>621035</v>
      </c>
      <c r="C23" s="2">
        <f>[2]!Tabelle1[[#This Row],[Kosten DE]]</f>
        <v>1385420</v>
      </c>
      <c r="D23" s="2">
        <f>[3]!Tabelle1[[#This Row],[Kosten FR]]</f>
        <v>18203710</v>
      </c>
      <c r="E23" s="2">
        <f>[4]!Tabelle1[[#This Row],[Kosten AT]]</f>
        <v>8204600</v>
      </c>
      <c r="F23" s="2">
        <f>SUM(Tabelle13[[#This Row],[Kosten CH*]:[Kosten AT]])</f>
        <v>28414765</v>
      </c>
    </row>
    <row r="24" spans="1:6" x14ac:dyDescent="0.55000000000000004">
      <c r="A24" s="1">
        <v>2024</v>
      </c>
      <c r="B24" s="2">
        <f>[1]!Tabelle1[[#This Row],[Kosten CH*]]</f>
        <v>672540</v>
      </c>
      <c r="C24" s="2">
        <f>[2]!Tabelle1[[#This Row],[Kosten DE]]</f>
        <v>1359730</v>
      </c>
      <c r="D24" s="2">
        <f>[3]!Tabelle1[[#This Row],[Kosten FR]]</f>
        <v>15398020</v>
      </c>
      <c r="E24" s="2">
        <f>[4]!Tabelle1[[#This Row],[Kosten AT]]</f>
        <v>7060950</v>
      </c>
      <c r="F24" s="2">
        <f>SUM(Tabelle13[[#This Row],[Kosten CH*]:[Kosten AT]])</f>
        <v>24491240</v>
      </c>
    </row>
    <row r="26" spans="1:6" x14ac:dyDescent="0.55000000000000004">
      <c r="A26" t="s">
        <v>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5764-30C8-420D-B18E-CC82EDA61749}">
  <dimension ref="A1:F27"/>
  <sheetViews>
    <sheetView workbookViewId="0">
      <selection activeCell="A2" sqref="A2:A24"/>
    </sheetView>
  </sheetViews>
  <sheetFormatPr baseColWidth="10" defaultColWidth="13.68359375" defaultRowHeight="14.4" x14ac:dyDescent="0.55000000000000004"/>
  <sheetData>
    <row r="1" spans="1:6" x14ac:dyDescent="0.55000000000000004">
      <c r="A1" s="1" t="s">
        <v>0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</row>
    <row r="2" spans="1:6" x14ac:dyDescent="0.55000000000000004">
      <c r="A2" s="1">
        <v>2002</v>
      </c>
      <c r="B2" s="3">
        <f>Tabelle1[[#This Row],[Umsatz CH*]]-Tabelle13[[#This Row],[Kosten CH*]]</f>
        <v>90200</v>
      </c>
      <c r="C2" s="3">
        <f>Tabelle1[[#This Row],[Umsatz DE]]-Tabelle13[[#This Row],[Kosten DE]]</f>
        <v>411210</v>
      </c>
      <c r="D2" s="3">
        <f>Tabelle1[[#This Row],[Umsatz FR]]-Tabelle13[[#This Row],[Kosten FR]]</f>
        <v>3078170</v>
      </c>
      <c r="E2" s="3">
        <f>Tabelle1[[#This Row],[Umsatz AT]]-Tabelle13[[#This Row],[Kosten AT]]</f>
        <v>1557580</v>
      </c>
      <c r="F2" s="3">
        <f>Tabelle1[[#This Row],[Total Umsatz]]-Tabelle13[[#This Row],[Total Kosten]]</f>
        <v>5137160</v>
      </c>
    </row>
    <row r="3" spans="1:6" x14ac:dyDescent="0.55000000000000004">
      <c r="A3" s="1">
        <v>2003</v>
      </c>
      <c r="B3" s="3">
        <f>Tabelle1[[#This Row],[Umsatz CH*]]-Tabelle13[[#This Row],[Kosten CH*]]</f>
        <v>121570</v>
      </c>
      <c r="C3" s="3">
        <f>Tabelle1[[#This Row],[Umsatz DE]]-Tabelle13[[#This Row],[Kosten DE]]</f>
        <v>440660</v>
      </c>
      <c r="D3" s="3">
        <f>Tabelle1[[#This Row],[Umsatz FR]]-Tabelle13[[#This Row],[Kosten FR]]</f>
        <v>2768390</v>
      </c>
      <c r="E3" s="3">
        <f>Tabelle1[[#This Row],[Umsatz AT]]-Tabelle13[[#This Row],[Kosten AT]]</f>
        <v>1518020</v>
      </c>
      <c r="F3" s="3">
        <f>Tabelle1[[#This Row],[Total Umsatz]]-Tabelle13[[#This Row],[Total Kosten]]</f>
        <v>4848640</v>
      </c>
    </row>
    <row r="4" spans="1:6" x14ac:dyDescent="0.55000000000000004">
      <c r="A4" s="1">
        <v>2004</v>
      </c>
      <c r="B4" s="3">
        <f>Tabelle1[[#This Row],[Umsatz CH*]]-Tabelle13[[#This Row],[Kosten CH*]]</f>
        <v>136740</v>
      </c>
      <c r="C4" s="3">
        <f>Tabelle1[[#This Row],[Umsatz DE]]-Tabelle13[[#This Row],[Kosten DE]]</f>
        <v>74780</v>
      </c>
      <c r="D4" s="3">
        <f>Tabelle1[[#This Row],[Umsatz FR]]-Tabelle13[[#This Row],[Kosten FR]]</f>
        <v>5328470</v>
      </c>
      <c r="E4" s="3">
        <f>Tabelle1[[#This Row],[Umsatz AT]]-Tabelle13[[#This Row],[Kosten AT]]</f>
        <v>1710010</v>
      </c>
      <c r="F4" s="3">
        <f>Tabelle1[[#This Row],[Total Umsatz]]-Tabelle13[[#This Row],[Total Kosten]]</f>
        <v>7250000</v>
      </c>
    </row>
    <row r="5" spans="1:6" x14ac:dyDescent="0.55000000000000004">
      <c r="A5" s="1">
        <v>2005</v>
      </c>
      <c r="B5" s="3">
        <f>Tabelle1[[#This Row],[Umsatz CH*]]-Tabelle13[[#This Row],[Kosten CH*]]</f>
        <v>54420</v>
      </c>
      <c r="C5" s="3">
        <f>Tabelle1[[#This Row],[Umsatz DE]]-Tabelle13[[#This Row],[Kosten DE]]</f>
        <v>227790</v>
      </c>
      <c r="D5" s="3">
        <f>Tabelle1[[#This Row],[Umsatz FR]]-Tabelle13[[#This Row],[Kosten FR]]</f>
        <v>2974990</v>
      </c>
      <c r="E5" s="3">
        <f>Tabelle1[[#This Row],[Umsatz AT]]-Tabelle13[[#This Row],[Kosten AT]]</f>
        <v>1952600</v>
      </c>
      <c r="F5" s="3">
        <f>Tabelle1[[#This Row],[Total Umsatz]]-Tabelle13[[#This Row],[Total Kosten]]</f>
        <v>5209800</v>
      </c>
    </row>
    <row r="6" spans="1:6" x14ac:dyDescent="0.55000000000000004">
      <c r="A6" s="1">
        <v>2006</v>
      </c>
      <c r="B6" s="3">
        <f>Tabelle1[[#This Row],[Umsatz CH*]]-Tabelle13[[#This Row],[Kosten CH*]]</f>
        <v>75280</v>
      </c>
      <c r="C6" s="3">
        <f>Tabelle1[[#This Row],[Umsatz DE]]-Tabelle13[[#This Row],[Kosten DE]]</f>
        <v>306080</v>
      </c>
      <c r="D6" s="3">
        <f>Tabelle1[[#This Row],[Umsatz FR]]-Tabelle13[[#This Row],[Kosten FR]]</f>
        <v>1580620</v>
      </c>
      <c r="E6" s="3">
        <f>Tabelle1[[#This Row],[Umsatz AT]]-Tabelle13[[#This Row],[Kosten AT]]</f>
        <v>1999820</v>
      </c>
      <c r="F6" s="3">
        <f>Tabelle1[[#This Row],[Total Umsatz]]-Tabelle13[[#This Row],[Total Kosten]]</f>
        <v>3961800</v>
      </c>
    </row>
    <row r="7" spans="1:6" x14ac:dyDescent="0.55000000000000004">
      <c r="A7" s="1">
        <v>2007</v>
      </c>
      <c r="B7" s="3">
        <f>Tabelle1[[#This Row],[Umsatz CH*]]-Tabelle13[[#This Row],[Kosten CH*]]</f>
        <v>108380</v>
      </c>
      <c r="C7" s="3">
        <f>Tabelle1[[#This Row],[Umsatz DE]]-Tabelle13[[#This Row],[Kosten DE]]</f>
        <v>14053</v>
      </c>
      <c r="D7" s="3">
        <f>Tabelle1[[#This Row],[Umsatz FR]]-Tabelle13[[#This Row],[Kosten FR]]</f>
        <v>3348350</v>
      </c>
      <c r="E7" s="3">
        <f>Tabelle1[[#This Row],[Umsatz AT]]-Tabelle13[[#This Row],[Kosten AT]]</f>
        <v>2130030</v>
      </c>
      <c r="F7" s="3">
        <f>Tabelle1[[#This Row],[Total Umsatz]]-Tabelle13[[#This Row],[Total Kosten]]</f>
        <v>5600813</v>
      </c>
    </row>
    <row r="8" spans="1:6" x14ac:dyDescent="0.55000000000000004">
      <c r="A8" s="1">
        <v>2008</v>
      </c>
      <c r="B8" s="3">
        <f>Tabelle1[[#This Row],[Umsatz CH*]]-Tabelle13[[#This Row],[Kosten CH*]]</f>
        <v>81790</v>
      </c>
      <c r="C8" s="3">
        <f>Tabelle1[[#This Row],[Umsatz DE]]-Tabelle13[[#This Row],[Kosten DE]]</f>
        <v>95570</v>
      </c>
      <c r="D8" s="3">
        <f>Tabelle1[[#This Row],[Umsatz FR]]-Tabelle13[[#This Row],[Kosten FR]]</f>
        <v>3588170</v>
      </c>
      <c r="E8" s="3">
        <f>Tabelle1[[#This Row],[Umsatz AT]]-Tabelle13[[#This Row],[Kosten AT]]</f>
        <v>1954840</v>
      </c>
      <c r="F8" s="3">
        <f>Tabelle1[[#This Row],[Total Umsatz]]-Tabelle13[[#This Row],[Total Kosten]]</f>
        <v>5720370</v>
      </c>
    </row>
    <row r="9" spans="1:6" x14ac:dyDescent="0.55000000000000004">
      <c r="A9" s="1">
        <v>2009</v>
      </c>
      <c r="B9" s="3">
        <f>Tabelle1[[#This Row],[Umsatz CH*]]-Tabelle13[[#This Row],[Kosten CH*]]</f>
        <v>83250</v>
      </c>
      <c r="C9" s="3">
        <f>Tabelle1[[#This Row],[Umsatz DE]]-Tabelle13[[#This Row],[Kosten DE]]</f>
        <v>98580</v>
      </c>
      <c r="D9" s="3">
        <f>Tabelle1[[#This Row],[Umsatz FR]]-Tabelle13[[#This Row],[Kosten FR]]</f>
        <v>2320770</v>
      </c>
      <c r="E9" s="3">
        <f>Tabelle1[[#This Row],[Umsatz AT]]-Tabelle13[[#This Row],[Kosten AT]]</f>
        <v>2542600</v>
      </c>
      <c r="F9" s="3">
        <f>Tabelle1[[#This Row],[Total Umsatz]]-Tabelle13[[#This Row],[Total Kosten]]</f>
        <v>5045200</v>
      </c>
    </row>
    <row r="10" spans="1:6" x14ac:dyDescent="0.55000000000000004">
      <c r="A10" s="1">
        <v>2010</v>
      </c>
      <c r="B10" s="3">
        <f>Tabelle1[[#This Row],[Umsatz CH*]]-Tabelle13[[#This Row],[Kosten CH*]]</f>
        <v>110910</v>
      </c>
      <c r="C10" s="3">
        <f>Tabelle1[[#This Row],[Umsatz DE]]-Tabelle13[[#This Row],[Kosten DE]]</f>
        <v>52990</v>
      </c>
      <c r="D10" s="3">
        <f>Tabelle1[[#This Row],[Umsatz FR]]-Tabelle13[[#This Row],[Kosten FR]]</f>
        <v>1784830</v>
      </c>
      <c r="E10" s="3">
        <f>Tabelle1[[#This Row],[Umsatz AT]]-Tabelle13[[#This Row],[Kosten AT]]</f>
        <v>2136456</v>
      </c>
      <c r="F10" s="3">
        <f>Tabelle1[[#This Row],[Total Umsatz]]-Tabelle13[[#This Row],[Total Kosten]]</f>
        <v>4085186</v>
      </c>
    </row>
    <row r="11" spans="1:6" x14ac:dyDescent="0.55000000000000004">
      <c r="A11" s="1">
        <v>2011</v>
      </c>
      <c r="B11" s="3">
        <f>Tabelle1[[#This Row],[Umsatz CH*]]-Tabelle13[[#This Row],[Kosten CH*]]</f>
        <v>72150</v>
      </c>
      <c r="C11" s="3">
        <f>Tabelle1[[#This Row],[Umsatz DE]]-Tabelle13[[#This Row],[Kosten DE]]</f>
        <v>42010</v>
      </c>
      <c r="D11" s="3">
        <f>Tabelle1[[#This Row],[Umsatz FR]]-Tabelle13[[#This Row],[Kosten FR]]</f>
        <v>1614970</v>
      </c>
      <c r="E11" s="3">
        <f>Tabelle1[[#This Row],[Umsatz AT]]-Tabelle13[[#This Row],[Kosten AT]]</f>
        <v>2258120</v>
      </c>
      <c r="F11" s="3">
        <f>Tabelle1[[#This Row],[Total Umsatz]]-Tabelle13[[#This Row],[Total Kosten]]</f>
        <v>3987250</v>
      </c>
    </row>
    <row r="12" spans="1:6" x14ac:dyDescent="0.55000000000000004">
      <c r="A12" s="1">
        <v>2012</v>
      </c>
      <c r="B12" s="3">
        <f>Tabelle1[[#This Row],[Umsatz CH*]]-Tabelle13[[#This Row],[Kosten CH*]]</f>
        <v>91770</v>
      </c>
      <c r="C12" s="3">
        <f>Tabelle1[[#This Row],[Umsatz DE]]-Tabelle13[[#This Row],[Kosten DE]]</f>
        <v>20060</v>
      </c>
      <c r="D12" s="3">
        <f>Tabelle1[[#This Row],[Umsatz FR]]-Tabelle13[[#This Row],[Kosten FR]]</f>
        <v>2293210</v>
      </c>
      <c r="E12" s="3">
        <f>Tabelle1[[#This Row],[Umsatz AT]]-Tabelle13[[#This Row],[Kosten AT]]</f>
        <v>2255200</v>
      </c>
      <c r="F12" s="3">
        <f>Tabelle1[[#This Row],[Total Umsatz]]-Tabelle13[[#This Row],[Total Kosten]]</f>
        <v>4660240</v>
      </c>
    </row>
    <row r="13" spans="1:6" x14ac:dyDescent="0.55000000000000004">
      <c r="A13" s="1">
        <v>2013</v>
      </c>
      <c r="B13" s="3">
        <f>Tabelle1[[#This Row],[Umsatz CH*]]-Tabelle13[[#This Row],[Kosten CH*]]</f>
        <v>101710</v>
      </c>
      <c r="C13" s="3">
        <f>Tabelle1[[#This Row],[Umsatz DE]]-Tabelle13[[#This Row],[Kosten DE]]</f>
        <v>129800</v>
      </c>
      <c r="D13" s="3">
        <f>Tabelle1[[#This Row],[Umsatz FR]]-Tabelle13[[#This Row],[Kosten FR]]</f>
        <v>1922910</v>
      </c>
      <c r="E13" s="3">
        <f>Tabelle1[[#This Row],[Umsatz AT]]-Tabelle13[[#This Row],[Kosten AT]]</f>
        <v>2795200</v>
      </c>
      <c r="F13" s="3">
        <f>Tabelle1[[#This Row],[Total Umsatz]]-Tabelle13[[#This Row],[Total Kosten]]</f>
        <v>4949620</v>
      </c>
    </row>
    <row r="14" spans="1:6" x14ac:dyDescent="0.55000000000000004">
      <c r="A14" s="1">
        <v>2014</v>
      </c>
      <c r="B14" s="3">
        <f>Tabelle1[[#This Row],[Umsatz CH*]]-Tabelle13[[#This Row],[Kosten CH*]]</f>
        <v>99810</v>
      </c>
      <c r="C14" s="3">
        <f>Tabelle1[[#This Row],[Umsatz DE]]-Tabelle13[[#This Row],[Kosten DE]]</f>
        <v>96900</v>
      </c>
      <c r="D14" s="3">
        <f>Tabelle1[[#This Row],[Umsatz FR]]-Tabelle13[[#This Row],[Kosten FR]]</f>
        <v>2514090</v>
      </c>
      <c r="E14" s="3">
        <f>Tabelle1[[#This Row],[Umsatz AT]]-Tabelle13[[#This Row],[Kosten AT]]</f>
        <v>2968050</v>
      </c>
      <c r="F14" s="3">
        <f>Tabelle1[[#This Row],[Total Umsatz]]-Tabelle13[[#This Row],[Total Kosten]]</f>
        <v>5678850</v>
      </c>
    </row>
    <row r="15" spans="1:6" x14ac:dyDescent="0.55000000000000004">
      <c r="A15" s="1">
        <v>1015</v>
      </c>
      <c r="B15" s="3">
        <f>Tabelle1[[#This Row],[Umsatz CH*]]-Tabelle13[[#This Row],[Kosten CH*]]</f>
        <v>71630</v>
      </c>
      <c r="C15" s="3">
        <f>Tabelle1[[#This Row],[Umsatz DE]]-Tabelle13[[#This Row],[Kosten DE]]</f>
        <v>2700</v>
      </c>
      <c r="D15" s="3">
        <f>Tabelle1[[#This Row],[Umsatz FR]]-Tabelle13[[#This Row],[Kosten FR]]</f>
        <v>1276000</v>
      </c>
      <c r="E15" s="3">
        <f>Tabelle1[[#This Row],[Umsatz AT]]-Tabelle13[[#This Row],[Kosten AT]]</f>
        <v>2896310</v>
      </c>
      <c r="F15" s="3">
        <f>Tabelle1[[#This Row],[Total Umsatz]]-Tabelle13[[#This Row],[Total Kosten]]</f>
        <v>4246640</v>
      </c>
    </row>
    <row r="16" spans="1:6" x14ac:dyDescent="0.55000000000000004">
      <c r="A16" s="1">
        <v>2016</v>
      </c>
      <c r="B16" s="3">
        <f>Tabelle1[[#This Row],[Umsatz CH*]]-Tabelle13[[#This Row],[Kosten CH*]]</f>
        <v>78870</v>
      </c>
      <c r="C16" s="3">
        <f>Tabelle1[[#This Row],[Umsatz DE]]-Tabelle13[[#This Row],[Kosten DE]]</f>
        <v>157830</v>
      </c>
      <c r="D16" s="3">
        <f>Tabelle1[[#This Row],[Umsatz FR]]-Tabelle13[[#This Row],[Kosten FR]]</f>
        <v>4739680</v>
      </c>
      <c r="E16" s="3">
        <f>Tabelle1[[#This Row],[Umsatz AT]]-Tabelle13[[#This Row],[Kosten AT]]</f>
        <v>3630720</v>
      </c>
      <c r="F16" s="3">
        <f>Tabelle1[[#This Row],[Total Umsatz]]-Tabelle13[[#This Row],[Total Kosten]]</f>
        <v>8607100</v>
      </c>
    </row>
    <row r="17" spans="1:6" x14ac:dyDescent="0.55000000000000004">
      <c r="A17" s="1">
        <v>2017</v>
      </c>
      <c r="B17" s="3">
        <f>Tabelle1[[#This Row],[Umsatz CH*]]-Tabelle13[[#This Row],[Kosten CH*]]</f>
        <v>90710</v>
      </c>
      <c r="C17" s="3">
        <f>Tabelle1[[#This Row],[Umsatz DE]]-Tabelle13[[#This Row],[Kosten DE]]</f>
        <v>134990</v>
      </c>
      <c r="D17" s="3">
        <f>Tabelle1[[#This Row],[Umsatz FR]]-Tabelle13[[#This Row],[Kosten FR]]</f>
        <v>2342310</v>
      </c>
      <c r="E17" s="3">
        <f>Tabelle1[[#This Row],[Umsatz AT]]-Tabelle13[[#This Row],[Kosten AT]]</f>
        <v>3450370</v>
      </c>
      <c r="F17" s="3">
        <f>Tabelle1[[#This Row],[Total Umsatz]]-Tabelle13[[#This Row],[Total Kosten]]</f>
        <v>6018380</v>
      </c>
    </row>
    <row r="18" spans="1:6" x14ac:dyDescent="0.55000000000000004">
      <c r="A18" s="1">
        <v>2018</v>
      </c>
      <c r="B18" s="3">
        <f>Tabelle1[[#This Row],[Umsatz CH*]]-Tabelle13[[#This Row],[Kosten CH*]]</f>
        <v>81290</v>
      </c>
      <c r="C18" s="3">
        <f>Tabelle1[[#This Row],[Umsatz DE]]-Tabelle13[[#This Row],[Kosten DE]]</f>
        <v>197780</v>
      </c>
      <c r="D18" s="3">
        <f>Tabelle1[[#This Row],[Umsatz FR]]-Tabelle13[[#This Row],[Kosten FR]]</f>
        <v>1938520</v>
      </c>
      <c r="E18" s="3">
        <f>Tabelle1[[#This Row],[Umsatz AT]]-Tabelle13[[#This Row],[Kosten AT]]</f>
        <v>2269570</v>
      </c>
      <c r="F18" s="3">
        <f>Tabelle1[[#This Row],[Total Umsatz]]-Tabelle13[[#This Row],[Total Kosten]]</f>
        <v>4487160</v>
      </c>
    </row>
    <row r="19" spans="1:6" x14ac:dyDescent="0.55000000000000004">
      <c r="A19" s="1">
        <v>2019</v>
      </c>
      <c r="B19" s="3">
        <f>Tabelle1[[#This Row],[Umsatz CH*]]-Tabelle13[[#This Row],[Kosten CH*]]</f>
        <v>56790</v>
      </c>
      <c r="C19" s="3">
        <f>Tabelle1[[#This Row],[Umsatz DE]]-Tabelle13[[#This Row],[Kosten DE]]</f>
        <v>303930</v>
      </c>
      <c r="D19" s="3">
        <f>Tabelle1[[#This Row],[Umsatz FR]]-Tabelle13[[#This Row],[Kosten FR]]</f>
        <v>1144070</v>
      </c>
      <c r="E19" s="3">
        <f>Tabelle1[[#This Row],[Umsatz AT]]-Tabelle13[[#This Row],[Kosten AT]]</f>
        <v>3160700</v>
      </c>
      <c r="F19" s="3">
        <f>Tabelle1[[#This Row],[Total Umsatz]]-Tabelle13[[#This Row],[Total Kosten]]</f>
        <v>4665490</v>
      </c>
    </row>
    <row r="20" spans="1:6" x14ac:dyDescent="0.55000000000000004">
      <c r="A20" s="1">
        <v>2020</v>
      </c>
      <c r="B20" s="3">
        <f>Tabelle1[[#This Row],[Umsatz CH*]]-Tabelle13[[#This Row],[Kosten CH*]]</f>
        <v>52990</v>
      </c>
      <c r="C20" s="3">
        <f>Tabelle1[[#This Row],[Umsatz DE]]-Tabelle13[[#This Row],[Kosten DE]]</f>
        <v>125150</v>
      </c>
      <c r="D20" s="3">
        <f>Tabelle1[[#This Row],[Umsatz FR]]-Tabelle13[[#This Row],[Kosten FR]]</f>
        <v>879760</v>
      </c>
      <c r="E20" s="3">
        <f>Tabelle1[[#This Row],[Umsatz AT]]-Tabelle13[[#This Row],[Kosten AT]]</f>
        <v>2729950</v>
      </c>
      <c r="F20" s="3">
        <f>Tabelle1[[#This Row],[Total Umsatz]]-Tabelle13[[#This Row],[Total Kosten]]</f>
        <v>3787850</v>
      </c>
    </row>
    <row r="21" spans="1:6" x14ac:dyDescent="0.55000000000000004">
      <c r="A21" s="1">
        <v>2021</v>
      </c>
      <c r="B21" s="3">
        <f>Tabelle1[[#This Row],[Umsatz CH*]]-Tabelle13[[#This Row],[Kosten CH*]]</f>
        <v>81980</v>
      </c>
      <c r="C21" s="3">
        <f>Tabelle1[[#This Row],[Umsatz DE]]-Tabelle13[[#This Row],[Kosten DE]]</f>
        <v>263790</v>
      </c>
      <c r="D21" s="3">
        <f>Tabelle1[[#This Row],[Umsatz FR]]-Tabelle13[[#This Row],[Kosten FR]]</f>
        <v>2018190</v>
      </c>
      <c r="E21" s="3">
        <f>Tabelle1[[#This Row],[Umsatz AT]]-Tabelle13[[#This Row],[Kosten AT]]</f>
        <v>1814640</v>
      </c>
      <c r="F21" s="3">
        <f>Tabelle1[[#This Row],[Total Umsatz]]-Tabelle13[[#This Row],[Total Kosten]]</f>
        <v>4178600</v>
      </c>
    </row>
    <row r="22" spans="1:6" x14ac:dyDescent="0.55000000000000004">
      <c r="A22" s="1">
        <v>2022</v>
      </c>
      <c r="B22" s="3">
        <f>Tabelle1[[#This Row],[Umsatz CH*]]-Tabelle13[[#This Row],[Kosten CH*]]</f>
        <v>9330</v>
      </c>
      <c r="C22" s="3">
        <f>Tabelle1[[#This Row],[Umsatz DE]]-Tabelle13[[#This Row],[Kosten DE]]</f>
        <v>84890</v>
      </c>
      <c r="D22" s="3">
        <f>Tabelle1[[#This Row],[Umsatz FR]]-Tabelle13[[#This Row],[Kosten FR]]</f>
        <v>1797670</v>
      </c>
      <c r="E22" s="3">
        <f>Tabelle1[[#This Row],[Umsatz AT]]-Tabelle13[[#This Row],[Kosten AT]]</f>
        <v>1266380</v>
      </c>
      <c r="F22" s="3">
        <f>Tabelle1[[#This Row],[Total Umsatz]]-Tabelle13[[#This Row],[Total Kosten]]</f>
        <v>3158270</v>
      </c>
    </row>
    <row r="23" spans="1:6" x14ac:dyDescent="0.55000000000000004">
      <c r="A23" s="1">
        <v>2023</v>
      </c>
      <c r="B23" s="3">
        <f>Tabelle1[[#This Row],[Umsatz CH*]]-Tabelle13[[#This Row],[Kosten CH*]]</f>
        <v>33255</v>
      </c>
      <c r="C23" s="3">
        <f>Tabelle1[[#This Row],[Umsatz DE]]-Tabelle13[[#This Row],[Kosten DE]]</f>
        <v>42410</v>
      </c>
      <c r="D23" s="3">
        <f>Tabelle1[[#This Row],[Umsatz FR]]-Tabelle13[[#This Row],[Kosten FR]]</f>
        <v>1374720</v>
      </c>
      <c r="E23" s="3">
        <f>Tabelle1[[#This Row],[Umsatz AT]]-Tabelle13[[#This Row],[Kosten AT]]</f>
        <v>1546040</v>
      </c>
      <c r="F23" s="3">
        <f>Tabelle1[[#This Row],[Total Umsatz]]-Tabelle13[[#This Row],[Total Kosten]]</f>
        <v>2996425</v>
      </c>
    </row>
    <row r="24" spans="1:6" x14ac:dyDescent="0.55000000000000004">
      <c r="A24" s="1">
        <v>2024</v>
      </c>
      <c r="B24" s="3">
        <f>Tabelle1[[#This Row],[Umsatz CH*]]-Tabelle13[[#This Row],[Kosten CH*]]</f>
        <v>21720</v>
      </c>
      <c r="C24" s="3">
        <f>Tabelle1[[#This Row],[Umsatz DE]]-Tabelle13[[#This Row],[Kosten DE]]</f>
        <v>169680</v>
      </c>
      <c r="D24" s="3">
        <f>Tabelle1[[#This Row],[Umsatz FR]]-Tabelle13[[#This Row],[Kosten FR]]</f>
        <v>2154950</v>
      </c>
      <c r="E24" s="3">
        <f>Tabelle1[[#This Row],[Umsatz AT]]-Tabelle13[[#This Row],[Kosten AT]]</f>
        <v>1243550</v>
      </c>
      <c r="F24" s="3">
        <f>Tabelle1[[#This Row],[Total Umsatz]]-Tabelle13[[#This Row],[Total Kosten]]</f>
        <v>3589900</v>
      </c>
    </row>
    <row r="25" spans="1:6" x14ac:dyDescent="0.55000000000000004">
      <c r="A25" s="1" t="s">
        <v>32</v>
      </c>
      <c r="B25" s="3">
        <f>SUBTOTAL(109,Tabelle135[Gewinn CH*])</f>
        <v>1806545</v>
      </c>
      <c r="C25" s="3">
        <f>SUBTOTAL(109,Tabelle135[Gewinn DE])</f>
        <v>3493633</v>
      </c>
      <c r="D25" s="3">
        <f>SUBTOTAL(109,Tabelle135[Gewinn FR])</f>
        <v>54783810</v>
      </c>
      <c r="E25" s="3">
        <f>SUBTOTAL(109,Tabelle135[Gewinn AT])</f>
        <v>51786756</v>
      </c>
      <c r="F25" s="3">
        <f>SUBTOTAL(109,Tabelle135[Total Gewinn])</f>
        <v>111870744</v>
      </c>
    </row>
    <row r="27" spans="1:6" x14ac:dyDescent="0.55000000000000004">
      <c r="A27" t="s">
        <v>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46C4-EC2B-4040-A40B-128C578A9E24}">
  <dimension ref="A1:F24"/>
  <sheetViews>
    <sheetView workbookViewId="0">
      <selection activeCell="A2" sqref="A2:A24"/>
    </sheetView>
  </sheetViews>
  <sheetFormatPr baseColWidth="10" defaultColWidth="8.83984375" defaultRowHeight="14.4" x14ac:dyDescent="0.55000000000000004"/>
  <cols>
    <col min="2" max="2" width="15.26171875" bestFit="1" customWidth="1"/>
    <col min="3" max="3" width="14.15625" bestFit="1" customWidth="1"/>
    <col min="4" max="4" width="14" bestFit="1" customWidth="1"/>
    <col min="5" max="5" width="14.15625" bestFit="1" customWidth="1"/>
    <col min="6" max="6" width="16.41796875" bestFit="1" customWidth="1"/>
  </cols>
  <sheetData>
    <row r="1" spans="1:6" x14ac:dyDescent="0.55000000000000004">
      <c r="A1" s="1" t="s">
        <v>0</v>
      </c>
      <c r="B1" s="1" t="s">
        <v>31</v>
      </c>
      <c r="C1" s="1" t="s">
        <v>27</v>
      </c>
      <c r="D1" s="1" t="s">
        <v>28</v>
      </c>
      <c r="E1" s="1" t="s">
        <v>29</v>
      </c>
      <c r="F1" s="1" t="s">
        <v>30</v>
      </c>
    </row>
    <row r="2" spans="1:6" x14ac:dyDescent="0.55000000000000004">
      <c r="A2" s="1">
        <v>2002</v>
      </c>
      <c r="B2" s="4">
        <f>Tabelle135[[#This Row],[Gewinn CH*]]/Tabelle1[[#This Row],[Umsatz CH*]]</f>
        <v>0.13827993254637436</v>
      </c>
      <c r="C2" s="4">
        <f>Tabelle135[[#This Row],[Gewinn DE]]/Tabelle1[[#This Row],[Umsatz DE]]</f>
        <v>0.32668642202855258</v>
      </c>
      <c r="D2" s="4">
        <f>Tabelle135[[#This Row],[Gewinn FR]]/Tabelle1[[#This Row],[Umsatz FR]]</f>
        <v>0.16411287441846578</v>
      </c>
      <c r="E2" s="4">
        <f>Tabelle135[[#This Row],[Gewinn AT]]/Tabelle1[[#This Row],[Umsatz AT]]</f>
        <v>0.18891206791995149</v>
      </c>
      <c r="F2" s="4">
        <f>Tabelle135[[#This Row],[Total Gewinn]]/Tabelle1[[#This Row],[Total Umsatz]]</f>
        <v>0.17767985763918312</v>
      </c>
    </row>
    <row r="3" spans="1:6" x14ac:dyDescent="0.55000000000000004">
      <c r="A3" s="1">
        <v>2003</v>
      </c>
      <c r="B3" s="4">
        <f>Tabelle135[[#This Row],[Gewinn CH*]]/Tabelle1[[#This Row],[Umsatz CH*]]</f>
        <v>0.18305978015359134</v>
      </c>
      <c r="C3" s="4">
        <f>Tabelle135[[#This Row],[Gewinn DE]]/Tabelle1[[#This Row],[Umsatz DE]]</f>
        <v>0.30904640675517403</v>
      </c>
      <c r="D3" s="4">
        <f>Tabelle135[[#This Row],[Gewinn FR]]/Tabelle1[[#This Row],[Umsatz FR]]</f>
        <v>0.14910102271692946</v>
      </c>
      <c r="E3" s="4">
        <f>Tabelle135[[#This Row],[Gewinn AT]]/Tabelle1[[#This Row],[Umsatz AT]]</f>
        <v>0.17771102320631885</v>
      </c>
      <c r="F3" s="4">
        <f>Tabelle135[[#This Row],[Total Gewinn]]/Tabelle1[[#This Row],[Total Umsatz]]</f>
        <v>0.16605358014332561</v>
      </c>
    </row>
    <row r="4" spans="1:6" x14ac:dyDescent="0.55000000000000004">
      <c r="A4" s="1">
        <v>2004</v>
      </c>
      <c r="B4" s="4">
        <f>Tabelle135[[#This Row],[Gewinn CH*]]/Tabelle1[[#This Row],[Umsatz CH*]]</f>
        <v>0.20369432444510652</v>
      </c>
      <c r="C4" s="4">
        <f>Tabelle135[[#This Row],[Gewinn DE]]/Tabelle1[[#This Row],[Umsatz DE]]</f>
        <v>4.7873600378993998E-2</v>
      </c>
      <c r="D4" s="4">
        <f>Tabelle135[[#This Row],[Gewinn FR]]/Tabelle1[[#This Row],[Umsatz FR]]</f>
        <v>0.27203531654500696</v>
      </c>
      <c r="E4" s="4">
        <f>Tabelle135[[#This Row],[Gewinn AT]]/Tabelle1[[#This Row],[Umsatz AT]]</f>
        <v>0.18974706087960008</v>
      </c>
      <c r="F4" s="4">
        <f>Tabelle135[[#This Row],[Total Gewinn]]/Tabelle1[[#This Row],[Total Umsatz]]</f>
        <v>0.23513920240782543</v>
      </c>
    </row>
    <row r="5" spans="1:6" x14ac:dyDescent="0.55000000000000004">
      <c r="A5" s="1">
        <v>2005</v>
      </c>
      <c r="B5" s="4">
        <f>Tabelle135[[#This Row],[Gewinn CH*]]/Tabelle1[[#This Row],[Umsatz CH*]]</f>
        <v>9.0514445386956743E-2</v>
      </c>
      <c r="C5" s="4">
        <f>Tabelle135[[#This Row],[Gewinn DE]]/Tabelle1[[#This Row],[Umsatz DE]]</f>
        <v>0.14357930299840529</v>
      </c>
      <c r="D5" s="4">
        <f>Tabelle135[[#This Row],[Gewinn FR]]/Tabelle1[[#This Row],[Umsatz FR]]</f>
        <v>0.15207686578494162</v>
      </c>
      <c r="E5" s="4">
        <f>Tabelle135[[#This Row],[Gewinn AT]]/Tabelle1[[#This Row],[Umsatz AT]]</f>
        <v>0.21321202618033155</v>
      </c>
      <c r="F5" s="4">
        <f>Tabelle135[[#This Row],[Total Gewinn]]/Tabelle1[[#This Row],[Total Umsatz]]</f>
        <v>0.16855737495943629</v>
      </c>
    </row>
    <row r="6" spans="1:6" x14ac:dyDescent="0.55000000000000004">
      <c r="A6" s="1">
        <v>2006</v>
      </c>
      <c r="B6" s="4">
        <f>Tabelle135[[#This Row],[Gewinn CH*]]/Tabelle1[[#This Row],[Umsatz CH*]]</f>
        <v>0.11556647221369358</v>
      </c>
      <c r="C6" s="4">
        <f>Tabelle135[[#This Row],[Gewinn DE]]/Tabelle1[[#This Row],[Umsatz DE]]</f>
        <v>0.19072781655034896</v>
      </c>
      <c r="D6" s="4">
        <f>Tabelle135[[#This Row],[Gewinn FR]]/Tabelle1[[#This Row],[Umsatz FR]]</f>
        <v>7.9603187713283077E-2</v>
      </c>
      <c r="E6" s="4">
        <f>Tabelle135[[#This Row],[Gewinn AT]]/Tabelle1[[#This Row],[Umsatz AT]]</f>
        <v>0.21386710812810938</v>
      </c>
      <c r="F6" s="4">
        <f>Tabelle135[[#This Row],[Total Gewinn]]/Tabelle1[[#This Row],[Total Umsatz]]</f>
        <v>0.12591853339774722</v>
      </c>
    </row>
    <row r="7" spans="1:6" x14ac:dyDescent="0.55000000000000004">
      <c r="A7" s="1">
        <v>2007</v>
      </c>
      <c r="B7" s="4">
        <f>Tabelle135[[#This Row],[Gewinn CH*]]/Tabelle1[[#This Row],[Umsatz CH*]]</f>
        <v>0.15650541516245486</v>
      </c>
      <c r="C7" s="4">
        <f>Tabelle135[[#This Row],[Gewinn DE]]/Tabelle1[[#This Row],[Umsatz DE]]</f>
        <v>8.5558078794040829E-3</v>
      </c>
      <c r="D7" s="4">
        <f>Tabelle135[[#This Row],[Gewinn FR]]/Tabelle1[[#This Row],[Umsatz FR]]</f>
        <v>0.16786932027552157</v>
      </c>
      <c r="E7" s="4">
        <f>Tabelle135[[#This Row],[Gewinn AT]]/Tabelle1[[#This Row],[Umsatz AT]]</f>
        <v>0.22853001479523247</v>
      </c>
      <c r="F7" s="4">
        <f>Tabelle135[[#This Row],[Total Gewinn]]/Tabelle1[[#This Row],[Total Umsatz]]</f>
        <v>0.17723110270791967</v>
      </c>
    </row>
    <row r="8" spans="1:6" x14ac:dyDescent="0.55000000000000004">
      <c r="A8" s="1">
        <v>2008</v>
      </c>
      <c r="B8" s="4">
        <f>Tabelle135[[#This Row],[Gewinn CH*]]/Tabelle1[[#This Row],[Umsatz CH*]]</f>
        <v>0.12149255061570684</v>
      </c>
      <c r="C8" s="4">
        <f>Tabelle135[[#This Row],[Gewinn DE]]/Tabelle1[[#This Row],[Umsatz DE]]</f>
        <v>5.7073412520677692E-2</v>
      </c>
      <c r="D8" s="4">
        <f>Tabelle135[[#This Row],[Gewinn FR]]/Tabelle1[[#This Row],[Umsatz FR]]</f>
        <v>0.17515554813571665</v>
      </c>
      <c r="E8" s="4">
        <f>Tabelle135[[#This Row],[Gewinn AT]]/Tabelle1[[#This Row],[Umsatz AT]]</f>
        <v>0.20352146988885048</v>
      </c>
      <c r="F8" s="4">
        <f>Tabelle135[[#This Row],[Total Gewinn]]/Tabelle1[[#This Row],[Total Umsatz]]</f>
        <v>0.17634551867816003</v>
      </c>
    </row>
    <row r="9" spans="1:6" x14ac:dyDescent="0.55000000000000004">
      <c r="A9" s="1">
        <v>2009</v>
      </c>
      <c r="B9" s="4">
        <f>Tabelle135[[#This Row],[Gewinn CH*]]/Tabelle1[[#This Row],[Umsatz CH*]]</f>
        <v>0.12162162162162163</v>
      </c>
      <c r="C9" s="4">
        <f>Tabelle135[[#This Row],[Gewinn DE]]/Tabelle1[[#This Row],[Umsatz DE]]</f>
        <v>5.8247608468297067E-2</v>
      </c>
      <c r="D9" s="4">
        <f>Tabelle135[[#This Row],[Gewinn FR]]/Tabelle1[[#This Row],[Umsatz FR]]</f>
        <v>0.11502974663686799</v>
      </c>
      <c r="E9" s="4">
        <f>Tabelle135[[#This Row],[Gewinn AT]]/Tabelle1[[#This Row],[Umsatz AT]]</f>
        <v>0.25811520875800964</v>
      </c>
      <c r="F9" s="4">
        <f>Tabelle135[[#This Row],[Total Gewinn]]/Tabelle1[[#This Row],[Total Umsatz]]</f>
        <v>0.15570182477156408</v>
      </c>
    </row>
    <row r="10" spans="1:6" x14ac:dyDescent="0.55000000000000004">
      <c r="A10" s="1">
        <v>2010</v>
      </c>
      <c r="B10" s="4">
        <f>Tabelle135[[#This Row],[Gewinn CH*]]/Tabelle1[[#This Row],[Umsatz CH*]]</f>
        <v>0.15841570016568587</v>
      </c>
      <c r="C10" s="4">
        <f>Tabelle135[[#This Row],[Gewinn DE]]/Tabelle1[[#This Row],[Umsatz DE]]</f>
        <v>3.0585858585858584E-2</v>
      </c>
      <c r="D10" s="4">
        <f>Tabelle135[[#This Row],[Gewinn FR]]/Tabelle1[[#This Row],[Umsatz FR]]</f>
        <v>8.7672383516021996E-2</v>
      </c>
      <c r="E10" s="4">
        <f>Tabelle135[[#This Row],[Gewinn AT]]/Tabelle1[[#This Row],[Umsatz AT]]</f>
        <v>0.19705258963702471</v>
      </c>
      <c r="F10" s="4">
        <f>Tabelle135[[#This Row],[Total Gewinn]]/Tabelle1[[#This Row],[Total Umsatz]]</f>
        <v>0.12146495828604542</v>
      </c>
    </row>
    <row r="11" spans="1:6" x14ac:dyDescent="0.55000000000000004">
      <c r="A11" s="1">
        <v>2011</v>
      </c>
      <c r="B11" s="4">
        <f>Tabelle135[[#This Row],[Gewinn CH*]]/Tabelle1[[#This Row],[Umsatz CH*]]</f>
        <v>0.10539616688091621</v>
      </c>
      <c r="C11" s="4">
        <f>Tabelle135[[#This Row],[Gewinn DE]]/Tabelle1[[#This Row],[Umsatz DE]]</f>
        <v>2.434755394307506E-2</v>
      </c>
      <c r="D11" s="4">
        <f>Tabelle135[[#This Row],[Gewinn FR]]/Tabelle1[[#This Row],[Umsatz FR]]</f>
        <v>7.6558383132760865E-2</v>
      </c>
      <c r="E11" s="4">
        <f>Tabelle135[[#This Row],[Gewinn AT]]/Tabelle1[[#This Row],[Umsatz AT]]</f>
        <v>0.20700478707508063</v>
      </c>
      <c r="F11" s="4">
        <f>Tabelle135[[#This Row],[Total Gewinn]]/Tabelle1[[#This Row],[Total Umsatz]]</f>
        <v>0.11586413914448401</v>
      </c>
    </row>
    <row r="12" spans="1:6" x14ac:dyDescent="0.55000000000000004">
      <c r="A12" s="1">
        <v>2012</v>
      </c>
      <c r="B12" s="4">
        <f>Tabelle135[[#This Row],[Gewinn CH*]]/Tabelle1[[#This Row],[Umsatz CH*]]</f>
        <v>0.13221056877773296</v>
      </c>
      <c r="C12" s="4">
        <f>Tabelle135[[#This Row],[Gewinn DE]]/Tabelle1[[#This Row],[Umsatz DE]]</f>
        <v>1.1693520180940612E-2</v>
      </c>
      <c r="D12" s="4">
        <f>Tabelle135[[#This Row],[Gewinn FR]]/Tabelle1[[#This Row],[Umsatz FR]]</f>
        <v>0.1054158465087244</v>
      </c>
      <c r="E12" s="4">
        <f>Tabelle135[[#This Row],[Gewinn AT]]/Tabelle1[[#This Row],[Umsatz AT]]</f>
        <v>0.20125220420780593</v>
      </c>
      <c r="F12" s="4">
        <f>Tabelle135[[#This Row],[Total Gewinn]]/Tabelle1[[#This Row],[Total Umsatz]]</f>
        <v>0.13175916569643006</v>
      </c>
    </row>
    <row r="13" spans="1:6" x14ac:dyDescent="0.55000000000000004">
      <c r="A13" s="1">
        <v>2013</v>
      </c>
      <c r="B13" s="4">
        <f>Tabelle135[[#This Row],[Gewinn CH*]]/Tabelle1[[#This Row],[Umsatz CH*]]</f>
        <v>0.14340500528727529</v>
      </c>
      <c r="C13" s="4">
        <f>Tabelle135[[#This Row],[Gewinn DE]]/Tabelle1[[#This Row],[Umsatz DE]]</f>
        <v>7.3653330004369272E-2</v>
      </c>
      <c r="D13" s="4">
        <f>Tabelle135[[#This Row],[Gewinn FR]]/Tabelle1[[#This Row],[Umsatz FR]]</f>
        <v>8.8212829030214421E-2</v>
      </c>
      <c r="E13" s="4">
        <f>Tabelle135[[#This Row],[Gewinn AT]]/Tabelle1[[#This Row],[Umsatz AT]]</f>
        <v>0.23607649513565193</v>
      </c>
      <c r="F13" s="4">
        <f>Tabelle135[[#This Row],[Total Gewinn]]/Tabelle1[[#This Row],[Total Umsatz]]</f>
        <v>0.13706940287430297</v>
      </c>
    </row>
    <row r="14" spans="1:6" x14ac:dyDescent="0.55000000000000004">
      <c r="A14" s="1">
        <v>2014</v>
      </c>
      <c r="B14" s="4">
        <f>Tabelle135[[#This Row],[Gewinn CH*]]/Tabelle1[[#This Row],[Umsatz CH*]]</f>
        <v>0.14010780763075886</v>
      </c>
      <c r="C14" s="4">
        <f>Tabelle135[[#This Row],[Gewinn DE]]/Tabelle1[[#This Row],[Umsatz DE]]</f>
        <v>5.4578327503759655E-2</v>
      </c>
      <c r="D14" s="4">
        <f>Tabelle135[[#This Row],[Gewinn FR]]/Tabelle1[[#This Row],[Umsatz FR]]</f>
        <v>0.11184365937217648</v>
      </c>
      <c r="E14" s="4">
        <f>Tabelle135[[#This Row],[Gewinn AT]]/Tabelle1[[#This Row],[Umsatz AT]]</f>
        <v>0.24584012874914377</v>
      </c>
      <c r="F14" s="4">
        <f>Tabelle135[[#This Row],[Total Gewinn]]/Tabelle1[[#This Row],[Total Umsatz]]</f>
        <v>0.15331871290953902</v>
      </c>
    </row>
    <row r="15" spans="1:6" x14ac:dyDescent="0.55000000000000004">
      <c r="A15" s="1">
        <v>1015</v>
      </c>
      <c r="B15" s="4">
        <f>Tabelle135[[#This Row],[Gewinn CH*]]/Tabelle1[[#This Row],[Umsatz CH*]]</f>
        <v>0.10088021970283782</v>
      </c>
      <c r="C15" s="4">
        <f>Tabelle135[[#This Row],[Gewinn DE]]/Tabelle1[[#This Row],[Umsatz DE]]</f>
        <v>1.5392333477755227E-3</v>
      </c>
      <c r="D15" s="4">
        <f>Tabelle135[[#This Row],[Gewinn FR]]/Tabelle1[[#This Row],[Umsatz FR]]</f>
        <v>5.5530072841877685E-2</v>
      </c>
      <c r="E15" s="4">
        <f>Tabelle135[[#This Row],[Gewinn AT]]/Tabelle1[[#This Row],[Umsatz AT]]</f>
        <v>0.23928852331161021</v>
      </c>
      <c r="F15" s="4">
        <f>Tabelle135[[#This Row],[Total Gewinn]]/Tabelle1[[#This Row],[Total Umsatz]]</f>
        <v>0.11310333439423861</v>
      </c>
    </row>
    <row r="16" spans="1:6" x14ac:dyDescent="0.55000000000000004">
      <c r="A16" s="1">
        <v>2016</v>
      </c>
      <c r="B16" s="4">
        <f>Tabelle135[[#This Row],[Gewinn CH*]]/Tabelle1[[#This Row],[Umsatz CH*]]</f>
        <v>0.11208697505862289</v>
      </c>
      <c r="C16" s="4">
        <f>Tabelle135[[#This Row],[Gewinn DE]]/Tabelle1[[#This Row],[Umsatz DE]]</f>
        <v>9.0594954510231612E-2</v>
      </c>
      <c r="D16" s="4">
        <f>Tabelle135[[#This Row],[Gewinn FR]]/Tabelle1[[#This Row],[Umsatz FR]]</f>
        <v>0.20433389550504058</v>
      </c>
      <c r="E16" s="4">
        <f>Tabelle135[[#This Row],[Gewinn AT]]/Tabelle1[[#This Row],[Umsatz AT]]</f>
        <v>0.28509686659798478</v>
      </c>
      <c r="F16" s="4">
        <f>Tabelle135[[#This Row],[Total Gewinn]]/Tabelle1[[#This Row],[Total Umsatz]]</f>
        <v>0.22427989973056497</v>
      </c>
    </row>
    <row r="17" spans="1:6" x14ac:dyDescent="0.55000000000000004">
      <c r="A17" s="1">
        <v>2017</v>
      </c>
      <c r="B17" s="4">
        <f>Tabelle135[[#This Row],[Gewinn CH*]]/Tabelle1[[#This Row],[Umsatz CH*]]</f>
        <v>0.12249334935789231</v>
      </c>
      <c r="C17" s="4">
        <f>Tabelle135[[#This Row],[Gewinn DE]]/Tabelle1[[#This Row],[Umsatz DE]]</f>
        <v>7.5687829056186956E-2</v>
      </c>
      <c r="D17" s="4">
        <f>Tabelle135[[#This Row],[Gewinn FR]]/Tabelle1[[#This Row],[Umsatz FR]]</f>
        <v>0.10162460708110888</v>
      </c>
      <c r="E17" s="4">
        <f>Tabelle135[[#This Row],[Gewinn AT]]/Tabelle1[[#This Row],[Umsatz AT]]</f>
        <v>0.25405973371504476</v>
      </c>
      <c r="F17" s="4">
        <f>Tabelle135[[#This Row],[Total Gewinn]]/Tabelle1[[#This Row],[Total Umsatz]]</f>
        <v>0.15371192913658324</v>
      </c>
    </row>
    <row r="18" spans="1:6" x14ac:dyDescent="0.55000000000000004">
      <c r="A18" s="1">
        <v>2018</v>
      </c>
      <c r="B18" s="4">
        <f>Tabelle135[[#This Row],[Gewinn CH*]]/Tabelle1[[#This Row],[Umsatz CH*]]</f>
        <v>0.1080538607754782</v>
      </c>
      <c r="C18" s="4">
        <f>Tabelle135[[#This Row],[Gewinn DE]]/Tabelle1[[#This Row],[Umsatz DE]]</f>
        <v>0.11015868241794353</v>
      </c>
      <c r="D18" s="4">
        <f>Tabelle135[[#This Row],[Gewinn FR]]/Tabelle1[[#This Row],[Umsatz FR]]</f>
        <v>8.4671642521192803E-2</v>
      </c>
      <c r="E18" s="4">
        <f>Tabelle135[[#This Row],[Gewinn AT]]/Tabelle1[[#This Row],[Umsatz AT]]</f>
        <v>0.17358034851136211</v>
      </c>
      <c r="F18" s="4">
        <f>Tabelle135[[#This Row],[Total Gewinn]]/Tabelle1[[#This Row],[Total Umsatz]]</f>
        <v>0.11649720177831688</v>
      </c>
    </row>
    <row r="19" spans="1:6" x14ac:dyDescent="0.55000000000000004">
      <c r="A19" s="1">
        <v>2019</v>
      </c>
      <c r="B19" s="4">
        <f>Tabelle135[[#This Row],[Gewinn CH*]]/Tabelle1[[#This Row],[Umsatz CH*]]</f>
        <v>7.6639676113360325E-2</v>
      </c>
      <c r="C19" s="4">
        <f>Tabelle135[[#This Row],[Gewinn DE]]/Tabelle1[[#This Row],[Umsatz DE]]</f>
        <v>0.16870379004862451</v>
      </c>
      <c r="D19" s="4">
        <f>Tabelle135[[#This Row],[Gewinn FR]]/Tabelle1[[#This Row],[Umsatz FR]]</f>
        <v>4.7920125723993616E-2</v>
      </c>
      <c r="E19" s="4">
        <f>Tabelle135[[#This Row],[Gewinn AT]]/Tabelle1[[#This Row],[Umsatz AT]]</f>
        <v>0.23934252932053893</v>
      </c>
      <c r="F19" s="4">
        <f>Tabelle135[[#This Row],[Total Gewinn]]/Tabelle1[[#This Row],[Total Umsatz]]</f>
        <v>0.11774749109352081</v>
      </c>
    </row>
    <row r="20" spans="1:6" x14ac:dyDescent="0.55000000000000004">
      <c r="A20" s="1">
        <v>2020</v>
      </c>
      <c r="B20" s="4">
        <f>Tabelle135[[#This Row],[Gewinn CH*]]/Tabelle1[[#This Row],[Umsatz CH*]]</f>
        <v>7.234030934731267E-2</v>
      </c>
      <c r="C20" s="4">
        <f>Tabelle135[[#This Row],[Gewinn DE]]/Tabelle1[[#This Row],[Umsatz DE]]</f>
        <v>6.9046752071678416E-2</v>
      </c>
      <c r="D20" s="4">
        <f>Tabelle135[[#This Row],[Gewinn FR]]/Tabelle1[[#This Row],[Umsatz FR]]</f>
        <v>3.5632946947914315E-2</v>
      </c>
      <c r="E20" s="4">
        <f>Tabelle135[[#This Row],[Gewinn AT]]/Tabelle1[[#This Row],[Umsatz AT]]</f>
        <v>0.20296286603685071</v>
      </c>
      <c r="F20" s="4">
        <f>Tabelle135[[#This Row],[Total Gewinn]]/Tabelle1[[#This Row],[Total Umsatz]]</f>
        <v>9.3101765882062329E-2</v>
      </c>
    </row>
    <row r="21" spans="1:6" x14ac:dyDescent="0.55000000000000004">
      <c r="A21" s="1">
        <v>2021</v>
      </c>
      <c r="B21" s="4">
        <f>Tabelle135[[#This Row],[Gewinn CH*]]/Tabelle1[[#This Row],[Umsatz CH*]]</f>
        <v>0.10462504466792588</v>
      </c>
      <c r="C21" s="4">
        <f>Tabelle135[[#This Row],[Gewinn DE]]/Tabelle1[[#This Row],[Umsatz DE]]</f>
        <v>0.15047746175171989</v>
      </c>
      <c r="D21" s="4">
        <f>Tabelle135[[#This Row],[Gewinn FR]]/Tabelle1[[#This Row],[Umsatz FR]]</f>
        <v>9.2770340556450129E-2</v>
      </c>
      <c r="E21" s="4">
        <f>Tabelle135[[#This Row],[Gewinn AT]]/Tabelle1[[#This Row],[Umsatz AT]]</f>
        <v>0.14127110047496746</v>
      </c>
      <c r="F21" s="4">
        <f>Tabelle135[[#This Row],[Total Gewinn]]/Tabelle1[[#This Row],[Total Umsatz]]</f>
        <v>0.1125204516543894</v>
      </c>
    </row>
    <row r="22" spans="1:6" x14ac:dyDescent="0.55000000000000004">
      <c r="A22" s="1">
        <v>2022</v>
      </c>
      <c r="B22" s="4">
        <f>Tabelle135[[#This Row],[Gewinn CH*]]/Tabelle1[[#This Row],[Umsatz CH*]]</f>
        <v>1.3358150189705776E-2</v>
      </c>
      <c r="C22" s="4">
        <f>Tabelle135[[#This Row],[Gewinn DE]]/Tabelle1[[#This Row],[Umsatz DE]]</f>
        <v>5.502297755394378E-2</v>
      </c>
      <c r="D22" s="4">
        <f>Tabelle135[[#This Row],[Gewinn FR]]/Tabelle1[[#This Row],[Umsatz FR]]</f>
        <v>8.6110936803184102E-2</v>
      </c>
      <c r="E22" s="4">
        <f>Tabelle135[[#This Row],[Gewinn AT]]/Tabelle1[[#This Row],[Umsatz AT]]</f>
        <v>0.12037340679040685</v>
      </c>
      <c r="F22" s="4">
        <f>Tabelle135[[#This Row],[Total Gewinn]]/Tabelle1[[#This Row],[Total Umsatz]]</f>
        <v>9.389022501404666E-2</v>
      </c>
    </row>
    <row r="23" spans="1:6" x14ac:dyDescent="0.55000000000000004">
      <c r="A23" s="1">
        <v>2023</v>
      </c>
      <c r="B23" s="4">
        <f>Tabelle135[[#This Row],[Gewinn CH*]]/Tabelle1[[#This Row],[Umsatz CH*]]</f>
        <v>5.0826086292011186E-2</v>
      </c>
      <c r="C23" s="4">
        <f>Tabelle135[[#This Row],[Gewinn DE]]/Tabelle1[[#This Row],[Umsatz DE]]</f>
        <v>2.9702415553672357E-2</v>
      </c>
      <c r="D23" s="4">
        <f>Tabelle135[[#This Row],[Gewinn FR]]/Tabelle1[[#This Row],[Umsatz FR]]</f>
        <v>7.0216048988606339E-2</v>
      </c>
      <c r="E23" s="4">
        <f>Tabelle135[[#This Row],[Gewinn AT]]/Tabelle1[[#This Row],[Umsatz AT]]</f>
        <v>0.15855779723177146</v>
      </c>
      <c r="F23" s="4">
        <f>Tabelle135[[#This Row],[Total Gewinn]]/Tabelle1[[#This Row],[Total Umsatz]]</f>
        <v>9.5393552425107109E-2</v>
      </c>
    </row>
    <row r="24" spans="1:6" x14ac:dyDescent="0.55000000000000004">
      <c r="A24" s="1">
        <v>2024</v>
      </c>
      <c r="B24" s="4">
        <f>Tabelle135[[#This Row],[Gewinn CH*]]/Tabelle1[[#This Row],[Umsatz CH*]]</f>
        <v>3.1285109325036732E-2</v>
      </c>
      <c r="C24" s="4">
        <f>Tabelle135[[#This Row],[Gewinn DE]]/Tabelle1[[#This Row],[Umsatz DE]]</f>
        <v>0.11094474339778085</v>
      </c>
      <c r="D24" s="4">
        <f>Tabelle135[[#This Row],[Gewinn FR]]/Tabelle1[[#This Row],[Umsatz FR]]</f>
        <v>0.12276839759881092</v>
      </c>
      <c r="E24" s="4">
        <f>Tabelle135[[#This Row],[Gewinn AT]]/Tabelle1[[#This Row],[Umsatz AT]]</f>
        <v>0.14974411463664278</v>
      </c>
      <c r="F24" s="4">
        <f>Tabelle135[[#This Row],[Total Gewinn]]/Tabelle1[[#This Row],[Total Umsatz]]</f>
        <v>0.12784025149976105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754C-8553-42FE-825D-47C9D753BF82}">
  <dimension ref="A1:F27"/>
  <sheetViews>
    <sheetView workbookViewId="0">
      <selection activeCell="A2" sqref="A2:A24"/>
    </sheetView>
  </sheetViews>
  <sheetFormatPr baseColWidth="10" defaultColWidth="15.68359375" defaultRowHeight="14.4" x14ac:dyDescent="0.55000000000000004"/>
  <cols>
    <col min="2" max="6" width="18.26171875" customWidth="1"/>
  </cols>
  <sheetData>
    <row r="1" spans="1:6" x14ac:dyDescent="0.55000000000000004">
      <c r="A1" s="1" t="s">
        <v>0</v>
      </c>
      <c r="B1" s="1" t="s">
        <v>22</v>
      </c>
      <c r="C1" s="1" t="s">
        <v>23</v>
      </c>
      <c r="D1" s="1" t="s">
        <v>24</v>
      </c>
      <c r="E1" s="1" t="s">
        <v>25</v>
      </c>
      <c r="F1" s="1" t="s">
        <v>26</v>
      </c>
    </row>
    <row r="2" spans="1:6" x14ac:dyDescent="0.55000000000000004">
      <c r="A2" s="1">
        <v>2002</v>
      </c>
      <c r="B2" s="2">
        <f>[1]!Tabelle1[[#This Row],[Aufwendung CH*]]</f>
        <v>35000</v>
      </c>
      <c r="C2" s="2">
        <f>[2]!Tabelle1[[#This Row],[Aufwendung DE]]</f>
        <v>185230</v>
      </c>
      <c r="D2" s="2">
        <f>[3]!Tabelle1[[#This Row],[Aufwendung FR]]</f>
        <v>2187650</v>
      </c>
      <c r="E2" s="2">
        <f>[4]!Tabelle1[[#This Row],[Aufwendung AT]]</f>
        <v>1178510</v>
      </c>
      <c r="F2" s="2">
        <f>SUM(Tabelle1356[[#This Row],[Aufwendung CH*]:[Aufwendung AT]])</f>
        <v>3586390</v>
      </c>
    </row>
    <row r="3" spans="1:6" x14ac:dyDescent="0.55000000000000004">
      <c r="A3" s="1">
        <v>2003</v>
      </c>
      <c r="B3" s="2">
        <f>[1]!Tabelle1[[#This Row],[Aufwendung CH*]]</f>
        <v>31250</v>
      </c>
      <c r="C3" s="2">
        <f>[2]!Tabelle1[[#This Row],[Aufwendung DE]]</f>
        <v>257890</v>
      </c>
      <c r="D3" s="2">
        <f>[3]!Tabelle1[[#This Row],[Aufwendung FR]]</f>
        <v>1580450</v>
      </c>
      <c r="E3" s="2">
        <f>[4]!Tabelle1[[#This Row],[Aufwendung AT]]</f>
        <v>989050</v>
      </c>
      <c r="F3" s="2">
        <f>SUM(Tabelle1356[[#This Row],[Aufwendung CH*]:[Aufwendung AT]])</f>
        <v>2858640</v>
      </c>
    </row>
    <row r="4" spans="1:6" x14ac:dyDescent="0.55000000000000004">
      <c r="A4" s="1">
        <v>2004</v>
      </c>
      <c r="B4" s="2">
        <f>[1]!Tabelle1[[#This Row],[Aufwendung CH*]]</f>
        <v>29570</v>
      </c>
      <c r="C4" s="2">
        <f>[2]!Tabelle1[[#This Row],[Aufwendung DE]]</f>
        <v>135200</v>
      </c>
      <c r="D4" s="2">
        <f>[3]!Tabelle1[[#This Row],[Aufwendung FR]]</f>
        <v>2950470</v>
      </c>
      <c r="E4" s="2">
        <f>[4]!Tabelle1[[#This Row],[Aufwendung AT]]</f>
        <v>1295010</v>
      </c>
      <c r="F4" s="2">
        <f>SUM(Tabelle1356[[#This Row],[Aufwendung CH*]:[Aufwendung AT]])</f>
        <v>4410250</v>
      </c>
    </row>
    <row r="5" spans="1:6" x14ac:dyDescent="0.55000000000000004">
      <c r="A5" s="1">
        <v>2005</v>
      </c>
      <c r="B5" s="2">
        <f>[1]!Tabelle1[[#This Row],[Aufwendung CH*]]</f>
        <v>30140</v>
      </c>
      <c r="C5" s="2">
        <f>[2]!Tabelle1[[#This Row],[Aufwendung DE]]</f>
        <v>178450</v>
      </c>
      <c r="D5" s="2">
        <f>[3]!Tabelle1[[#This Row],[Aufwendung FR]]</f>
        <v>1607530</v>
      </c>
      <c r="E5" s="2">
        <f>[4]!Tabelle1[[#This Row],[Aufwendung AT]]</f>
        <v>1025080</v>
      </c>
      <c r="F5" s="2">
        <f>SUM(Tabelle1356[[#This Row],[Aufwendung CH*]:[Aufwendung AT]])</f>
        <v>2841200</v>
      </c>
    </row>
    <row r="6" spans="1:6" x14ac:dyDescent="0.55000000000000004">
      <c r="A6" s="1">
        <v>2006</v>
      </c>
      <c r="B6" s="2">
        <f>[1]!Tabelle1[[#This Row],[Aufwendung CH*]]</f>
        <v>25890</v>
      </c>
      <c r="C6" s="2">
        <f>[2]!Tabelle1[[#This Row],[Aufwendung DE]]</f>
        <v>294320</v>
      </c>
      <c r="D6" s="2">
        <f>[3]!Tabelle1[[#This Row],[Aufwendung FR]]</f>
        <v>1058120</v>
      </c>
      <c r="E6" s="2">
        <f>[4]!Tabelle1[[#This Row],[Aufwendung AT]]</f>
        <v>1284090</v>
      </c>
      <c r="F6" s="2">
        <f>SUM(Tabelle1356[[#This Row],[Aufwendung CH*]:[Aufwendung AT]])</f>
        <v>2662420</v>
      </c>
    </row>
    <row r="7" spans="1:6" x14ac:dyDescent="0.55000000000000004">
      <c r="A7" s="1">
        <v>2007</v>
      </c>
      <c r="B7" s="2">
        <f>[1]!Tabelle1[[#This Row],[Aufwendung CH*]]</f>
        <v>53420</v>
      </c>
      <c r="C7" s="2">
        <f>[2]!Tabelle1[[#This Row],[Aufwendung DE]]</f>
        <v>98320</v>
      </c>
      <c r="D7" s="2">
        <f>[3]!Tabelle1[[#This Row],[Aufwendung FR]]</f>
        <v>1950240</v>
      </c>
      <c r="E7" s="2">
        <f>[4]!Tabelle1[[#This Row],[Aufwendung AT]]</f>
        <v>1109540</v>
      </c>
      <c r="F7" s="2">
        <f>SUM(Tabelle1356[[#This Row],[Aufwendung CH*]:[Aufwendung AT]])</f>
        <v>3211520</v>
      </c>
    </row>
    <row r="8" spans="1:6" x14ac:dyDescent="0.55000000000000004">
      <c r="A8" s="1">
        <v>2008</v>
      </c>
      <c r="B8" s="2">
        <f>[1]!Tabelle1[[#This Row],[Aufwendung CH*]]</f>
        <v>42890</v>
      </c>
      <c r="C8" s="2">
        <f>[2]!Tabelle1[[#This Row],[Aufwendung DE]]</f>
        <v>83470</v>
      </c>
      <c r="D8" s="2">
        <f>[3]!Tabelle1[[#This Row],[Aufwendung FR]]</f>
        <v>2106040</v>
      </c>
      <c r="E8" s="2">
        <f>[4]!Tabelle1[[#This Row],[Aufwendung AT]]</f>
        <v>985020</v>
      </c>
      <c r="F8" s="2">
        <f>SUM(Tabelle1356[[#This Row],[Aufwendung CH*]:[Aufwendung AT]])</f>
        <v>3217420</v>
      </c>
    </row>
    <row r="9" spans="1:6" x14ac:dyDescent="0.55000000000000004">
      <c r="A9" s="1">
        <v>2009</v>
      </c>
      <c r="B9" s="2">
        <f>[1]!Tabelle1[[#This Row],[Aufwendung CH*]]</f>
        <v>38940</v>
      </c>
      <c r="C9" s="2">
        <f>[2]!Tabelle1[[#This Row],[Aufwendung DE]]</f>
        <v>76980</v>
      </c>
      <c r="D9" s="2">
        <f>[3]!Tabelle1[[#This Row],[Aufwendung FR]]</f>
        <v>1607800</v>
      </c>
      <c r="E9" s="2">
        <f>[4]!Tabelle1[[#This Row],[Aufwendung AT]]</f>
        <v>1284050</v>
      </c>
      <c r="F9" s="2">
        <f>SUM(Tabelle1356[[#This Row],[Aufwendung CH*]:[Aufwendung AT]])</f>
        <v>3007770</v>
      </c>
    </row>
    <row r="10" spans="1:6" x14ac:dyDescent="0.55000000000000004">
      <c r="A10" s="1">
        <v>2010</v>
      </c>
      <c r="B10" s="2">
        <f>[1]!Tabelle1[[#This Row],[Aufwendung CH*]]</f>
        <v>65840</v>
      </c>
      <c r="C10" s="2">
        <f>[2]!Tabelle1[[#This Row],[Aufwendung DE]]</f>
        <v>35715</v>
      </c>
      <c r="D10" s="2">
        <f>[3]!Tabelle1[[#This Row],[Aufwendung FR]]</f>
        <v>1032050</v>
      </c>
      <c r="E10" s="2">
        <f>[4]!Tabelle1[[#This Row],[Aufwendung AT]]</f>
        <v>1905430</v>
      </c>
      <c r="F10" s="2">
        <f>SUM(Tabelle1356[[#This Row],[Aufwendung CH*]:[Aufwendung AT]])</f>
        <v>3039035</v>
      </c>
    </row>
    <row r="11" spans="1:6" x14ac:dyDescent="0.55000000000000004">
      <c r="A11" s="1">
        <v>2011</v>
      </c>
      <c r="B11" s="2">
        <f>[1]!Tabelle1[[#This Row],[Aufwendung CH*]]</f>
        <v>36780</v>
      </c>
      <c r="C11" s="2">
        <f>[2]!Tabelle1[[#This Row],[Aufwendung DE]]</f>
        <v>34970</v>
      </c>
      <c r="D11" s="2">
        <f>[3]!Tabelle1[[#This Row],[Aufwendung FR]]</f>
        <v>957080</v>
      </c>
      <c r="E11" s="2">
        <f>[4]!Tabelle1[[#This Row],[Aufwendung AT]]</f>
        <v>1502750</v>
      </c>
      <c r="F11" s="2">
        <f>SUM(Tabelle1356[[#This Row],[Aufwendung CH*]:[Aufwendung AT]])</f>
        <v>2531580</v>
      </c>
    </row>
    <row r="12" spans="1:6" x14ac:dyDescent="0.55000000000000004">
      <c r="A12" s="1">
        <v>2012</v>
      </c>
      <c r="B12" s="2">
        <f>[1]!Tabelle1[[#This Row],[Aufwendung CH*]]</f>
        <v>82400</v>
      </c>
      <c r="C12" s="2">
        <f>[2]!Tabelle1[[#This Row],[Aufwendung DE]]</f>
        <v>25840</v>
      </c>
      <c r="D12" s="2">
        <f>[3]!Tabelle1[[#This Row],[Aufwendung FR]]</f>
        <v>980540</v>
      </c>
      <c r="E12" s="2">
        <f>[4]!Tabelle1[[#This Row],[Aufwendung AT]]</f>
        <v>1320850</v>
      </c>
      <c r="F12" s="2">
        <f>SUM(Tabelle1356[[#This Row],[Aufwendung CH*]:[Aufwendung AT]])</f>
        <v>2409630</v>
      </c>
    </row>
    <row r="13" spans="1:6" x14ac:dyDescent="0.55000000000000004">
      <c r="A13" s="1">
        <v>2013</v>
      </c>
      <c r="B13" s="2">
        <f>[1]!Tabelle1[[#This Row],[Aufwendung CH*]]</f>
        <v>65420</v>
      </c>
      <c r="C13" s="2">
        <f>[2]!Tabelle1[[#This Row],[Aufwendung DE]]</f>
        <v>98200</v>
      </c>
      <c r="D13" s="2">
        <f>[3]!Tabelle1[[#This Row],[Aufwendung FR]]</f>
        <v>994056</v>
      </c>
      <c r="E13" s="2">
        <f>[4]!Tabelle1[[#This Row],[Aufwendung AT]]</f>
        <v>1209050</v>
      </c>
      <c r="F13" s="2">
        <f>SUM(Tabelle1356[[#This Row],[Aufwendung CH*]:[Aufwendung AT]])</f>
        <v>2366726</v>
      </c>
    </row>
    <row r="14" spans="1:6" x14ac:dyDescent="0.55000000000000004">
      <c r="A14" s="1">
        <v>2014</v>
      </c>
      <c r="B14" s="2">
        <f>[1]!Tabelle1[[#This Row],[Aufwendung CH*]]</f>
        <v>57810</v>
      </c>
      <c r="C14" s="2">
        <f>[2]!Tabelle1[[#This Row],[Aufwendung DE]]</f>
        <v>58940</v>
      </c>
      <c r="D14" s="2">
        <f>[3]!Tabelle1[[#This Row],[Aufwendung FR]]</f>
        <v>1250680</v>
      </c>
      <c r="E14" s="2">
        <f>[4]!Tabelle1[[#This Row],[Aufwendung AT]]</f>
        <v>1190520</v>
      </c>
      <c r="F14" s="2">
        <f>SUM(Tabelle1356[[#This Row],[Aufwendung CH*]:[Aufwendung AT]])</f>
        <v>2557950</v>
      </c>
    </row>
    <row r="15" spans="1:6" x14ac:dyDescent="0.55000000000000004">
      <c r="A15" s="1">
        <v>1015</v>
      </c>
      <c r="B15" s="2">
        <f>[1]!Tabelle1[[#This Row],[Aufwendung CH*]]</f>
        <v>38720</v>
      </c>
      <c r="C15" s="2">
        <f>[2]!Tabelle1[[#This Row],[Aufwendung DE]]</f>
        <v>16780</v>
      </c>
      <c r="D15" s="2">
        <f>[3]!Tabelle1[[#This Row],[Aufwendung FR]]</f>
        <v>1005620</v>
      </c>
      <c r="E15" s="2">
        <f>[4]!Tabelle1[[#This Row],[Aufwendung AT]]</f>
        <v>1280580</v>
      </c>
      <c r="F15" s="2">
        <f>SUM(Tabelle1356[[#This Row],[Aufwendung CH*]:[Aufwendung AT]])</f>
        <v>2341700</v>
      </c>
    </row>
    <row r="16" spans="1:6" x14ac:dyDescent="0.55000000000000004">
      <c r="A16" s="1">
        <v>2016</v>
      </c>
      <c r="B16" s="2">
        <f>[1]!Tabelle1[[#This Row],[Aufwendung CH*]]</f>
        <v>26580</v>
      </c>
      <c r="C16" s="2">
        <f>[2]!Tabelle1[[#This Row],[Aufwendung DE]]</f>
        <v>87840</v>
      </c>
      <c r="D16" s="2">
        <f>[3]!Tabelle1[[#This Row],[Aufwendung FR]]</f>
        <v>1150670</v>
      </c>
      <c r="E16" s="2">
        <f>[4]!Tabelle1[[#This Row],[Aufwendung AT]]</f>
        <v>1345080</v>
      </c>
      <c r="F16" s="2">
        <f>SUM(Tabelle1356[[#This Row],[Aufwendung CH*]:[Aufwendung AT]])</f>
        <v>2610170</v>
      </c>
    </row>
    <row r="17" spans="1:6" x14ac:dyDescent="0.55000000000000004">
      <c r="A17" s="1">
        <v>2017</v>
      </c>
      <c r="B17" s="2">
        <f>[1]!Tabelle1[[#This Row],[Aufwendung CH*]]</f>
        <v>49720</v>
      </c>
      <c r="C17" s="2">
        <f>[2]!Tabelle1[[#This Row],[Aufwendung DE]]</f>
        <v>97560</v>
      </c>
      <c r="D17" s="2">
        <f>[3]!Tabelle1[[#This Row],[Aufwendung FR]]</f>
        <v>1568074</v>
      </c>
      <c r="E17" s="2">
        <f>[4]!Tabelle1[[#This Row],[Aufwendung AT]]</f>
        <v>1806450</v>
      </c>
      <c r="F17" s="2">
        <f>SUM(Tabelle1356[[#This Row],[Aufwendung CH*]:[Aufwendung AT]])</f>
        <v>3521804</v>
      </c>
    </row>
    <row r="18" spans="1:6" x14ac:dyDescent="0.55000000000000004">
      <c r="A18" s="1">
        <v>2018</v>
      </c>
      <c r="B18" s="2">
        <f>[1]!Tabelle1[[#This Row],[Aufwendung CH*]]</f>
        <v>74120</v>
      </c>
      <c r="C18" s="2">
        <f>[2]!Tabelle1[[#This Row],[Aufwendung DE]]</f>
        <v>135240</v>
      </c>
      <c r="D18" s="2">
        <f>[3]!Tabelle1[[#This Row],[Aufwendung FR]]</f>
        <v>1020580</v>
      </c>
      <c r="E18" s="2">
        <f>[4]!Tabelle1[[#This Row],[Aufwendung AT]]</f>
        <v>1920750</v>
      </c>
      <c r="F18" s="2">
        <f>SUM(Tabelle1356[[#This Row],[Aufwendung CH*]:[Aufwendung AT]])</f>
        <v>3150690</v>
      </c>
    </row>
    <row r="19" spans="1:6" x14ac:dyDescent="0.55000000000000004">
      <c r="A19" s="1">
        <v>2019</v>
      </c>
      <c r="B19" s="2">
        <f>[1]!Tabelle1[[#This Row],[Aufwendung CH*]]</f>
        <v>38720</v>
      </c>
      <c r="C19" s="2">
        <f>[2]!Tabelle1[[#This Row],[Aufwendung DE]]</f>
        <v>298240</v>
      </c>
      <c r="D19" s="2">
        <f>[3]!Tabelle1[[#This Row],[Aufwendung FR]]</f>
        <v>980250</v>
      </c>
      <c r="E19" s="2">
        <f>[4]!Tabelle1[[#This Row],[Aufwendung AT]]</f>
        <v>1873050</v>
      </c>
      <c r="F19" s="2">
        <f>SUM(Tabelle1356[[#This Row],[Aufwendung CH*]:[Aufwendung AT]])</f>
        <v>3190260</v>
      </c>
    </row>
    <row r="20" spans="1:6" x14ac:dyDescent="0.55000000000000004">
      <c r="A20" s="1">
        <v>2020</v>
      </c>
      <c r="B20" s="2">
        <f>[1]!Tabelle1[[#This Row],[Aufwendung CH*]]</f>
        <v>15930</v>
      </c>
      <c r="C20" s="2">
        <f>[2]!Tabelle1[[#This Row],[Aufwendung DE]]</f>
        <v>99750</v>
      </c>
      <c r="D20" s="2">
        <f>[3]!Tabelle1[[#This Row],[Aufwendung FR]]</f>
        <v>860450</v>
      </c>
      <c r="E20" s="2">
        <f>[4]!Tabelle1[[#This Row],[Aufwendung AT]]</f>
        <v>2193040</v>
      </c>
      <c r="F20" s="2">
        <f>SUM(Tabelle1356[[#This Row],[Aufwendung CH*]:[Aufwendung AT]])</f>
        <v>3169170</v>
      </c>
    </row>
    <row r="21" spans="1:6" x14ac:dyDescent="0.55000000000000004">
      <c r="A21" s="1">
        <v>2021</v>
      </c>
      <c r="B21" s="2">
        <f>[1]!Tabelle1[[#This Row],[Aufwendung CH*]]</f>
        <v>48520</v>
      </c>
      <c r="C21" s="2">
        <f>[2]!Tabelle1[[#This Row],[Aufwendung DE]]</f>
        <v>159320</v>
      </c>
      <c r="D21" s="2">
        <f>[3]!Tabelle1[[#This Row],[Aufwendung FR]]</f>
        <v>1305800</v>
      </c>
      <c r="E21" s="2">
        <f>[4]!Tabelle1[[#This Row],[Aufwendung AT]]</f>
        <v>2245070</v>
      </c>
      <c r="F21" s="2">
        <f>SUM(Tabelle1356[[#This Row],[Aufwendung CH*]:[Aufwendung AT]])</f>
        <v>3758710</v>
      </c>
    </row>
    <row r="22" spans="1:6" x14ac:dyDescent="0.55000000000000004">
      <c r="A22" s="1">
        <v>2022</v>
      </c>
      <c r="B22" s="2">
        <f>[1]!Tabelle1[[#This Row],[Aufwendung CH*]]</f>
        <v>24870</v>
      </c>
      <c r="C22" s="2">
        <f>[2]!Tabelle1[[#This Row],[Aufwendung DE]]</f>
        <v>76530</v>
      </c>
      <c r="D22" s="2">
        <f>[3]!Tabelle1[[#This Row],[Aufwendung FR]]</f>
        <v>1015060</v>
      </c>
      <c r="E22" s="2">
        <f>[4]!Tabelle1[[#This Row],[Aufwendung AT]]</f>
        <v>947050</v>
      </c>
      <c r="F22" s="2">
        <f>SUM(Tabelle1356[[#This Row],[Aufwendung CH*]:[Aufwendung AT]])</f>
        <v>2063510</v>
      </c>
    </row>
    <row r="23" spans="1:6" x14ac:dyDescent="0.55000000000000004">
      <c r="A23" s="1">
        <v>2023</v>
      </c>
      <c r="B23" s="2">
        <f>[1]!Tabelle1[[#This Row],[Aufwendung CH*]]</f>
        <v>27810</v>
      </c>
      <c r="C23" s="2">
        <f>[2]!Tabelle1[[#This Row],[Aufwendung DE]]</f>
        <v>27840</v>
      </c>
      <c r="D23" s="2">
        <f>[3]!Tabelle1[[#This Row],[Aufwendung FR]]</f>
        <v>980540</v>
      </c>
      <c r="E23" s="2">
        <f>[4]!Tabelle1[[#This Row],[Aufwendung AT]]</f>
        <v>904050</v>
      </c>
      <c r="F23" s="2">
        <f>SUM(Tabelle1356[[#This Row],[Aufwendung CH*]:[Aufwendung AT]])</f>
        <v>1940240</v>
      </c>
    </row>
    <row r="24" spans="1:6" x14ac:dyDescent="0.55000000000000004">
      <c r="A24" s="1">
        <v>2024</v>
      </c>
      <c r="B24" s="2">
        <f>[1]!Tabelle1[[#This Row],[Aufwendung CH*]]</f>
        <v>18650</v>
      </c>
      <c r="C24" s="2">
        <f>[2]!Tabelle1[[#This Row],[Aufwendung DE]]</f>
        <v>95120</v>
      </c>
      <c r="D24" s="2">
        <f>[3]!Tabelle1[[#This Row],[Aufwendung FR]]</f>
        <v>1925060</v>
      </c>
      <c r="E24" s="2">
        <f>[4]!Tabelle1[[#This Row],[Aufwendung AT]]</f>
        <v>839040</v>
      </c>
      <c r="F24" s="2">
        <f>SUM(Tabelle1356[[#This Row],[Aufwendung CH*]:[Aufwendung AT]])</f>
        <v>2877870</v>
      </c>
    </row>
    <row r="25" spans="1:6" x14ac:dyDescent="0.55000000000000004">
      <c r="A25" s="1" t="s">
        <v>32</v>
      </c>
      <c r="B25" s="3">
        <f>SUBTOTAL(109,Tabelle1356[Aufwendung CH*])</f>
        <v>958990</v>
      </c>
      <c r="C25" s="3">
        <f>SUBTOTAL(109,Tabelle1356[Aufwendung DE])</f>
        <v>2657745</v>
      </c>
      <c r="D25" s="3">
        <f>SUBTOTAL(109,Tabelle1356[Aufwendung FR])</f>
        <v>32074810</v>
      </c>
      <c r="E25" s="3">
        <f>SUBTOTAL(109,Tabelle1356[Aufwendung AT])</f>
        <v>31633110</v>
      </c>
      <c r="F25" s="3">
        <f>SUBTOTAL(109,Tabelle1356[Total Aufwendung])</f>
        <v>67324655</v>
      </c>
    </row>
    <row r="27" spans="1:6" x14ac:dyDescent="0.55000000000000004">
      <c r="A27" t="s">
        <v>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970B-104D-4CAC-BE37-A47E525E2311}">
  <dimension ref="A1:F27"/>
  <sheetViews>
    <sheetView workbookViewId="0">
      <selection activeCell="B29" sqref="B29"/>
    </sheetView>
  </sheetViews>
  <sheetFormatPr baseColWidth="10" defaultRowHeight="14.4" x14ac:dyDescent="0.55000000000000004"/>
  <cols>
    <col min="1" max="1" width="9.15625" bestFit="1" customWidth="1"/>
    <col min="2" max="2" width="20" bestFit="1" customWidth="1"/>
    <col min="3" max="3" width="18.83984375" bestFit="1" customWidth="1"/>
    <col min="4" max="4" width="18.68359375" bestFit="1" customWidth="1"/>
    <col min="5" max="5" width="18.83984375" bestFit="1" customWidth="1"/>
    <col min="6" max="6" width="21.15625" bestFit="1" customWidth="1"/>
  </cols>
  <sheetData>
    <row r="1" spans="1:6" x14ac:dyDescent="0.55000000000000004">
      <c r="A1" s="1" t="s">
        <v>0</v>
      </c>
      <c r="B1" s="1" t="s">
        <v>16</v>
      </c>
      <c r="C1" s="1" t="s">
        <v>12</v>
      </c>
      <c r="D1" s="1" t="s">
        <v>13</v>
      </c>
      <c r="E1" s="1" t="s">
        <v>14</v>
      </c>
      <c r="F1" s="1" t="s">
        <v>15</v>
      </c>
    </row>
    <row r="2" spans="1:6" x14ac:dyDescent="0.55000000000000004">
      <c r="A2" s="1">
        <v>2002</v>
      </c>
      <c r="B2" s="3">
        <f>Tabelle135[[#This Row],[Gewinn CH*]]-Tabelle1356[[#This Row],[Aufwendung CH*]]</f>
        <v>55200</v>
      </c>
      <c r="C2" s="3">
        <f>Tabelle135[[#This Row],[Gewinn DE]]-Tabelle1356[[#This Row],[Aufwendung DE]]</f>
        <v>225980</v>
      </c>
      <c r="D2" s="3">
        <f>Tabelle135[[#This Row],[Gewinn FR]]-Tabelle1356[[#This Row],[Aufwendung FR]]</f>
        <v>890520</v>
      </c>
      <c r="E2" s="3">
        <f>Tabelle135[[#This Row],[Gewinn AT]]-Tabelle1356[[#This Row],[Aufwendung AT]]</f>
        <v>379070</v>
      </c>
      <c r="F2" s="3">
        <f>SUM(Tabelle134[[#This Row],[Reingewinn CH*]:[Reingewinn AT]])</f>
        <v>1550770</v>
      </c>
    </row>
    <row r="3" spans="1:6" x14ac:dyDescent="0.55000000000000004">
      <c r="A3" s="1">
        <v>2003</v>
      </c>
      <c r="B3" s="3">
        <f>Tabelle135[[#This Row],[Gewinn CH*]]-Tabelle1356[[#This Row],[Aufwendung CH*]]</f>
        <v>90320</v>
      </c>
      <c r="C3" s="3">
        <f>Tabelle135[[#This Row],[Gewinn DE]]-Tabelle1356[[#This Row],[Aufwendung DE]]</f>
        <v>182770</v>
      </c>
      <c r="D3" s="3">
        <f>Tabelle135[[#This Row],[Gewinn FR]]-Tabelle1356[[#This Row],[Aufwendung FR]]</f>
        <v>1187940</v>
      </c>
      <c r="E3" s="3">
        <f>Tabelle135[[#This Row],[Gewinn AT]]-Tabelle1356[[#This Row],[Aufwendung AT]]</f>
        <v>528970</v>
      </c>
      <c r="F3" s="3">
        <f>SUM(Tabelle134[[#This Row],[Reingewinn CH*]:[Reingewinn AT]])</f>
        <v>1990000</v>
      </c>
    </row>
    <row r="4" spans="1:6" x14ac:dyDescent="0.55000000000000004">
      <c r="A4" s="1">
        <v>2004</v>
      </c>
      <c r="B4" s="3">
        <f>Tabelle135[[#This Row],[Gewinn CH*]]-Tabelle1356[[#This Row],[Aufwendung CH*]]</f>
        <v>107170</v>
      </c>
      <c r="C4" s="3">
        <f>Tabelle135[[#This Row],[Gewinn DE]]-Tabelle1356[[#This Row],[Aufwendung DE]]</f>
        <v>-60420</v>
      </c>
      <c r="D4" s="3">
        <f>Tabelle135[[#This Row],[Gewinn FR]]-Tabelle1356[[#This Row],[Aufwendung FR]]</f>
        <v>2378000</v>
      </c>
      <c r="E4" s="3">
        <f>Tabelle135[[#This Row],[Gewinn AT]]-Tabelle1356[[#This Row],[Aufwendung AT]]</f>
        <v>415000</v>
      </c>
      <c r="F4" s="3">
        <f>SUM(Tabelle134[[#This Row],[Reingewinn CH*]:[Reingewinn AT]])</f>
        <v>2839750</v>
      </c>
    </row>
    <row r="5" spans="1:6" x14ac:dyDescent="0.55000000000000004">
      <c r="A5" s="1">
        <v>2005</v>
      </c>
      <c r="B5" s="3">
        <f>Tabelle135[[#This Row],[Gewinn CH*]]-Tabelle1356[[#This Row],[Aufwendung CH*]]</f>
        <v>24280</v>
      </c>
      <c r="C5" s="3">
        <f>Tabelle135[[#This Row],[Gewinn DE]]-Tabelle1356[[#This Row],[Aufwendung DE]]</f>
        <v>49340</v>
      </c>
      <c r="D5" s="3">
        <f>Tabelle135[[#This Row],[Gewinn FR]]-Tabelle1356[[#This Row],[Aufwendung FR]]</f>
        <v>1367460</v>
      </c>
      <c r="E5" s="3">
        <f>Tabelle135[[#This Row],[Gewinn AT]]-Tabelle1356[[#This Row],[Aufwendung AT]]</f>
        <v>927520</v>
      </c>
      <c r="F5" s="3">
        <f>SUM(Tabelle134[[#This Row],[Reingewinn CH*]:[Reingewinn AT]])</f>
        <v>2368600</v>
      </c>
    </row>
    <row r="6" spans="1:6" x14ac:dyDescent="0.55000000000000004">
      <c r="A6" s="1">
        <v>2006</v>
      </c>
      <c r="B6" s="3">
        <f>Tabelle135[[#This Row],[Gewinn CH*]]-Tabelle1356[[#This Row],[Aufwendung CH*]]</f>
        <v>49390</v>
      </c>
      <c r="C6" s="3">
        <f>Tabelle135[[#This Row],[Gewinn DE]]-Tabelle1356[[#This Row],[Aufwendung DE]]</f>
        <v>11760</v>
      </c>
      <c r="D6" s="3">
        <f>Tabelle135[[#This Row],[Gewinn FR]]-Tabelle1356[[#This Row],[Aufwendung FR]]</f>
        <v>522500</v>
      </c>
      <c r="E6" s="3">
        <f>Tabelle135[[#This Row],[Gewinn AT]]-Tabelle1356[[#This Row],[Aufwendung AT]]</f>
        <v>715730</v>
      </c>
      <c r="F6" s="3">
        <f>SUM(Tabelle134[[#This Row],[Reingewinn CH*]:[Reingewinn AT]])</f>
        <v>1299380</v>
      </c>
    </row>
    <row r="7" spans="1:6" x14ac:dyDescent="0.55000000000000004">
      <c r="A7" s="1">
        <v>2007</v>
      </c>
      <c r="B7" s="3">
        <f>Tabelle135[[#This Row],[Gewinn CH*]]-Tabelle1356[[#This Row],[Aufwendung CH*]]</f>
        <v>54960</v>
      </c>
      <c r="C7" s="3">
        <f>Tabelle135[[#This Row],[Gewinn DE]]-Tabelle1356[[#This Row],[Aufwendung DE]]</f>
        <v>-84267</v>
      </c>
      <c r="D7" s="3">
        <f>Tabelle135[[#This Row],[Gewinn FR]]-Tabelle1356[[#This Row],[Aufwendung FR]]</f>
        <v>1398110</v>
      </c>
      <c r="E7" s="3">
        <f>Tabelle135[[#This Row],[Gewinn AT]]-Tabelle1356[[#This Row],[Aufwendung AT]]</f>
        <v>1020490</v>
      </c>
      <c r="F7" s="3">
        <f>SUM(Tabelle134[[#This Row],[Reingewinn CH*]:[Reingewinn AT]])</f>
        <v>2389293</v>
      </c>
    </row>
    <row r="8" spans="1:6" x14ac:dyDescent="0.55000000000000004">
      <c r="A8" s="1">
        <v>2008</v>
      </c>
      <c r="B8" s="3">
        <f>Tabelle135[[#This Row],[Gewinn CH*]]-Tabelle1356[[#This Row],[Aufwendung CH*]]</f>
        <v>38900</v>
      </c>
      <c r="C8" s="3">
        <f>Tabelle135[[#This Row],[Gewinn DE]]-Tabelle1356[[#This Row],[Aufwendung DE]]</f>
        <v>12100</v>
      </c>
      <c r="D8" s="3">
        <f>Tabelle135[[#This Row],[Gewinn FR]]-Tabelle1356[[#This Row],[Aufwendung FR]]</f>
        <v>1482130</v>
      </c>
      <c r="E8" s="3">
        <f>Tabelle135[[#This Row],[Gewinn AT]]-Tabelle1356[[#This Row],[Aufwendung AT]]</f>
        <v>969820</v>
      </c>
      <c r="F8" s="3">
        <f>SUM(Tabelle134[[#This Row],[Reingewinn CH*]:[Reingewinn AT]])</f>
        <v>2502950</v>
      </c>
    </row>
    <row r="9" spans="1:6" x14ac:dyDescent="0.55000000000000004">
      <c r="A9" s="1">
        <v>2009</v>
      </c>
      <c r="B9" s="3">
        <f>Tabelle135[[#This Row],[Gewinn CH*]]-Tabelle1356[[#This Row],[Aufwendung CH*]]</f>
        <v>44310</v>
      </c>
      <c r="C9" s="3">
        <f>Tabelle135[[#This Row],[Gewinn DE]]-Tabelle1356[[#This Row],[Aufwendung DE]]</f>
        <v>21600</v>
      </c>
      <c r="D9" s="3">
        <f>Tabelle135[[#This Row],[Gewinn FR]]-Tabelle1356[[#This Row],[Aufwendung FR]]</f>
        <v>712970</v>
      </c>
      <c r="E9" s="3">
        <f>Tabelle135[[#This Row],[Gewinn AT]]-Tabelle1356[[#This Row],[Aufwendung AT]]</f>
        <v>1258550</v>
      </c>
      <c r="F9" s="3">
        <f>SUM(Tabelle134[[#This Row],[Reingewinn CH*]:[Reingewinn AT]])</f>
        <v>2037430</v>
      </c>
    </row>
    <row r="10" spans="1:6" x14ac:dyDescent="0.55000000000000004">
      <c r="A10" s="1">
        <v>2010</v>
      </c>
      <c r="B10" s="3">
        <f>Tabelle135[[#This Row],[Gewinn CH*]]-Tabelle1356[[#This Row],[Aufwendung CH*]]</f>
        <v>45070</v>
      </c>
      <c r="C10" s="3">
        <f>Tabelle135[[#This Row],[Gewinn DE]]-Tabelle1356[[#This Row],[Aufwendung DE]]</f>
        <v>17275</v>
      </c>
      <c r="D10" s="3">
        <f>Tabelle135[[#This Row],[Gewinn FR]]-Tabelle1356[[#This Row],[Aufwendung FR]]</f>
        <v>752780</v>
      </c>
      <c r="E10" s="3">
        <f>Tabelle135[[#This Row],[Gewinn AT]]-Tabelle1356[[#This Row],[Aufwendung AT]]</f>
        <v>231026</v>
      </c>
      <c r="F10" s="3">
        <f>SUM(Tabelle134[[#This Row],[Reingewinn CH*]:[Reingewinn AT]])</f>
        <v>1046151</v>
      </c>
    </row>
    <row r="11" spans="1:6" x14ac:dyDescent="0.55000000000000004">
      <c r="A11" s="1">
        <v>2011</v>
      </c>
      <c r="B11" s="3">
        <f>Tabelle135[[#This Row],[Gewinn CH*]]-Tabelle1356[[#This Row],[Aufwendung CH*]]</f>
        <v>35370</v>
      </c>
      <c r="C11" s="3">
        <f>Tabelle135[[#This Row],[Gewinn DE]]-Tabelle1356[[#This Row],[Aufwendung DE]]</f>
        <v>7040</v>
      </c>
      <c r="D11" s="3">
        <f>Tabelle135[[#This Row],[Gewinn FR]]-Tabelle1356[[#This Row],[Aufwendung FR]]</f>
        <v>657890</v>
      </c>
      <c r="E11" s="3">
        <f>Tabelle135[[#This Row],[Gewinn AT]]-Tabelle1356[[#This Row],[Aufwendung AT]]</f>
        <v>755370</v>
      </c>
      <c r="F11" s="3">
        <f>SUM(Tabelle134[[#This Row],[Reingewinn CH*]:[Reingewinn AT]])</f>
        <v>1455670</v>
      </c>
    </row>
    <row r="12" spans="1:6" x14ac:dyDescent="0.55000000000000004">
      <c r="A12" s="1">
        <v>2012</v>
      </c>
      <c r="B12" s="3">
        <f>Tabelle135[[#This Row],[Gewinn CH*]]-Tabelle1356[[#This Row],[Aufwendung CH*]]</f>
        <v>9370</v>
      </c>
      <c r="C12" s="3">
        <f>Tabelle135[[#This Row],[Gewinn DE]]-Tabelle1356[[#This Row],[Aufwendung DE]]</f>
        <v>-5780</v>
      </c>
      <c r="D12" s="3">
        <f>Tabelle135[[#This Row],[Gewinn FR]]-Tabelle1356[[#This Row],[Aufwendung FR]]</f>
        <v>1312670</v>
      </c>
      <c r="E12" s="3">
        <f>Tabelle135[[#This Row],[Gewinn AT]]-Tabelle1356[[#This Row],[Aufwendung AT]]</f>
        <v>934350</v>
      </c>
      <c r="F12" s="3">
        <f>SUM(Tabelle134[[#This Row],[Reingewinn CH*]:[Reingewinn AT]])</f>
        <v>2250610</v>
      </c>
    </row>
    <row r="13" spans="1:6" x14ac:dyDescent="0.55000000000000004">
      <c r="A13" s="1">
        <v>2013</v>
      </c>
      <c r="B13" s="3">
        <f>Tabelle135[[#This Row],[Gewinn CH*]]-Tabelle1356[[#This Row],[Aufwendung CH*]]</f>
        <v>36290</v>
      </c>
      <c r="C13" s="3">
        <f>Tabelle135[[#This Row],[Gewinn DE]]-Tabelle1356[[#This Row],[Aufwendung DE]]</f>
        <v>31600</v>
      </c>
      <c r="D13" s="3">
        <f>Tabelle135[[#This Row],[Gewinn FR]]-Tabelle1356[[#This Row],[Aufwendung FR]]</f>
        <v>928854</v>
      </c>
      <c r="E13" s="3">
        <f>Tabelle135[[#This Row],[Gewinn AT]]-Tabelle1356[[#This Row],[Aufwendung AT]]</f>
        <v>1586150</v>
      </c>
      <c r="F13" s="3">
        <f>SUM(Tabelle134[[#This Row],[Reingewinn CH*]:[Reingewinn AT]])</f>
        <v>2582894</v>
      </c>
    </row>
    <row r="14" spans="1:6" x14ac:dyDescent="0.55000000000000004">
      <c r="A14" s="1">
        <v>2014</v>
      </c>
      <c r="B14" s="3">
        <f>Tabelle135[[#This Row],[Gewinn CH*]]-Tabelle1356[[#This Row],[Aufwendung CH*]]</f>
        <v>42000</v>
      </c>
      <c r="C14" s="3">
        <f>Tabelle135[[#This Row],[Gewinn DE]]-Tabelle1356[[#This Row],[Aufwendung DE]]</f>
        <v>37960</v>
      </c>
      <c r="D14" s="3">
        <f>Tabelle135[[#This Row],[Gewinn FR]]-Tabelle1356[[#This Row],[Aufwendung FR]]</f>
        <v>1263410</v>
      </c>
      <c r="E14" s="3">
        <f>Tabelle135[[#This Row],[Gewinn AT]]-Tabelle1356[[#This Row],[Aufwendung AT]]</f>
        <v>1777530</v>
      </c>
      <c r="F14" s="3">
        <f>SUM(Tabelle134[[#This Row],[Reingewinn CH*]:[Reingewinn AT]])</f>
        <v>3120900</v>
      </c>
    </row>
    <row r="15" spans="1:6" x14ac:dyDescent="0.55000000000000004">
      <c r="A15" s="1">
        <v>1015</v>
      </c>
      <c r="B15" s="3">
        <f>Tabelle135[[#This Row],[Gewinn CH*]]-Tabelle1356[[#This Row],[Aufwendung CH*]]</f>
        <v>32910</v>
      </c>
      <c r="C15" s="3">
        <f>Tabelle135[[#This Row],[Gewinn DE]]-Tabelle1356[[#This Row],[Aufwendung DE]]</f>
        <v>-14080</v>
      </c>
      <c r="D15" s="3">
        <f>Tabelle135[[#This Row],[Gewinn FR]]-Tabelle1356[[#This Row],[Aufwendung FR]]</f>
        <v>270380</v>
      </c>
      <c r="E15" s="3">
        <f>Tabelle135[[#This Row],[Gewinn AT]]-Tabelle1356[[#This Row],[Aufwendung AT]]</f>
        <v>1615730</v>
      </c>
      <c r="F15" s="3">
        <f>SUM(Tabelle134[[#This Row],[Reingewinn CH*]:[Reingewinn AT]])</f>
        <v>1904940</v>
      </c>
    </row>
    <row r="16" spans="1:6" x14ac:dyDescent="0.55000000000000004">
      <c r="A16" s="1">
        <v>2016</v>
      </c>
      <c r="B16" s="3">
        <f>Tabelle135[[#This Row],[Gewinn CH*]]-Tabelle1356[[#This Row],[Aufwendung CH*]]</f>
        <v>52290</v>
      </c>
      <c r="C16" s="3">
        <f>Tabelle135[[#This Row],[Gewinn DE]]-Tabelle1356[[#This Row],[Aufwendung DE]]</f>
        <v>69990</v>
      </c>
      <c r="D16" s="3">
        <f>Tabelle135[[#This Row],[Gewinn FR]]-Tabelle1356[[#This Row],[Aufwendung FR]]</f>
        <v>3589010</v>
      </c>
      <c r="E16" s="3">
        <f>Tabelle135[[#This Row],[Gewinn AT]]-Tabelle1356[[#This Row],[Aufwendung AT]]</f>
        <v>2285640</v>
      </c>
      <c r="F16" s="3">
        <f>SUM(Tabelle134[[#This Row],[Reingewinn CH*]:[Reingewinn AT]])</f>
        <v>5996930</v>
      </c>
    </row>
    <row r="17" spans="1:6" x14ac:dyDescent="0.55000000000000004">
      <c r="A17" s="1">
        <v>2017</v>
      </c>
      <c r="B17" s="3">
        <f>Tabelle135[[#This Row],[Gewinn CH*]]-Tabelle1356[[#This Row],[Aufwendung CH*]]</f>
        <v>40990</v>
      </c>
      <c r="C17" s="3">
        <f>Tabelle135[[#This Row],[Gewinn DE]]-Tabelle1356[[#This Row],[Aufwendung DE]]</f>
        <v>37430</v>
      </c>
      <c r="D17" s="3">
        <f>Tabelle135[[#This Row],[Gewinn FR]]-Tabelle1356[[#This Row],[Aufwendung FR]]</f>
        <v>774236</v>
      </c>
      <c r="E17" s="3">
        <f>Tabelle135[[#This Row],[Gewinn AT]]-Tabelle1356[[#This Row],[Aufwendung AT]]</f>
        <v>1643920</v>
      </c>
      <c r="F17" s="3">
        <f>SUM(Tabelle134[[#This Row],[Reingewinn CH*]:[Reingewinn AT]])</f>
        <v>2496576</v>
      </c>
    </row>
    <row r="18" spans="1:6" x14ac:dyDescent="0.55000000000000004">
      <c r="A18" s="1">
        <v>2018</v>
      </c>
      <c r="B18" s="3">
        <f>Tabelle135[[#This Row],[Gewinn CH*]]-Tabelle1356[[#This Row],[Aufwendung CH*]]</f>
        <v>7170</v>
      </c>
      <c r="C18" s="3">
        <f>Tabelle135[[#This Row],[Gewinn DE]]-Tabelle1356[[#This Row],[Aufwendung DE]]</f>
        <v>62540</v>
      </c>
      <c r="D18" s="3">
        <f>Tabelle135[[#This Row],[Gewinn FR]]-Tabelle1356[[#This Row],[Aufwendung FR]]</f>
        <v>917940</v>
      </c>
      <c r="E18" s="3">
        <f>Tabelle135[[#This Row],[Gewinn AT]]-Tabelle1356[[#This Row],[Aufwendung AT]]</f>
        <v>348820</v>
      </c>
      <c r="F18" s="3">
        <f>SUM(Tabelle134[[#This Row],[Reingewinn CH*]:[Reingewinn AT]])</f>
        <v>1336470</v>
      </c>
    </row>
    <row r="19" spans="1:6" x14ac:dyDescent="0.55000000000000004">
      <c r="A19" s="1">
        <v>2019</v>
      </c>
      <c r="B19" s="3">
        <f>Tabelle135[[#This Row],[Gewinn CH*]]-Tabelle1356[[#This Row],[Aufwendung CH*]]</f>
        <v>18070</v>
      </c>
      <c r="C19" s="3">
        <f>Tabelle135[[#This Row],[Gewinn DE]]-Tabelle1356[[#This Row],[Aufwendung DE]]</f>
        <v>5690</v>
      </c>
      <c r="D19" s="3">
        <f>Tabelle135[[#This Row],[Gewinn FR]]-Tabelle1356[[#This Row],[Aufwendung FR]]</f>
        <v>163820</v>
      </c>
      <c r="E19" s="3">
        <f>Tabelle135[[#This Row],[Gewinn AT]]-Tabelle1356[[#This Row],[Aufwendung AT]]</f>
        <v>1287650</v>
      </c>
      <c r="F19" s="3">
        <f>SUM(Tabelle134[[#This Row],[Reingewinn CH*]:[Reingewinn AT]])</f>
        <v>1475230</v>
      </c>
    </row>
    <row r="20" spans="1:6" x14ac:dyDescent="0.55000000000000004">
      <c r="A20" s="1">
        <v>2020</v>
      </c>
      <c r="B20" s="3">
        <f>Tabelle135[[#This Row],[Gewinn CH*]]-Tabelle1356[[#This Row],[Aufwendung CH*]]</f>
        <v>37060</v>
      </c>
      <c r="C20" s="3">
        <f>Tabelle135[[#This Row],[Gewinn DE]]-Tabelle1356[[#This Row],[Aufwendung DE]]</f>
        <v>25400</v>
      </c>
      <c r="D20" s="3">
        <f>Tabelle135[[#This Row],[Gewinn FR]]-Tabelle1356[[#This Row],[Aufwendung FR]]</f>
        <v>19310</v>
      </c>
      <c r="E20" s="3">
        <f>Tabelle135[[#This Row],[Gewinn AT]]-Tabelle1356[[#This Row],[Aufwendung AT]]</f>
        <v>536910</v>
      </c>
      <c r="F20" s="3">
        <f>SUM(Tabelle134[[#This Row],[Reingewinn CH*]:[Reingewinn AT]])</f>
        <v>618680</v>
      </c>
    </row>
    <row r="21" spans="1:6" x14ac:dyDescent="0.55000000000000004">
      <c r="A21" s="1">
        <v>2021</v>
      </c>
      <c r="B21" s="3">
        <f>Tabelle135[[#This Row],[Gewinn CH*]]-Tabelle1356[[#This Row],[Aufwendung CH*]]</f>
        <v>33460</v>
      </c>
      <c r="C21" s="3">
        <f>Tabelle135[[#This Row],[Gewinn DE]]-Tabelle1356[[#This Row],[Aufwendung DE]]</f>
        <v>104470</v>
      </c>
      <c r="D21" s="3">
        <f>Tabelle135[[#This Row],[Gewinn FR]]-Tabelle1356[[#This Row],[Aufwendung FR]]</f>
        <v>712390</v>
      </c>
      <c r="E21" s="3">
        <f>Tabelle135[[#This Row],[Gewinn AT]]-Tabelle1356[[#This Row],[Aufwendung AT]]</f>
        <v>-430430</v>
      </c>
      <c r="F21" s="3">
        <f>SUM(Tabelle134[[#This Row],[Reingewinn CH*]:[Reingewinn AT]])</f>
        <v>419890</v>
      </c>
    </row>
    <row r="22" spans="1:6" x14ac:dyDescent="0.55000000000000004">
      <c r="A22" s="1">
        <v>2022</v>
      </c>
      <c r="B22" s="3">
        <f>Tabelle135[[#This Row],[Gewinn CH*]]-Tabelle1356[[#This Row],[Aufwendung CH*]]</f>
        <v>-15540</v>
      </c>
      <c r="C22" s="3">
        <f>Tabelle135[[#This Row],[Gewinn DE]]-Tabelle1356[[#This Row],[Aufwendung DE]]</f>
        <v>8360</v>
      </c>
      <c r="D22" s="3">
        <f>Tabelle135[[#This Row],[Gewinn FR]]-Tabelle1356[[#This Row],[Aufwendung FR]]</f>
        <v>782610</v>
      </c>
      <c r="E22" s="3">
        <f>Tabelle135[[#This Row],[Gewinn AT]]-Tabelle1356[[#This Row],[Aufwendung AT]]</f>
        <v>319330</v>
      </c>
      <c r="F22" s="3">
        <f>SUM(Tabelle134[[#This Row],[Reingewinn CH*]:[Reingewinn AT]])</f>
        <v>1094760</v>
      </c>
    </row>
    <row r="23" spans="1:6" x14ac:dyDescent="0.55000000000000004">
      <c r="A23" s="1">
        <v>2023</v>
      </c>
      <c r="B23" s="3">
        <f>Tabelle135[[#This Row],[Gewinn CH*]]-Tabelle1356[[#This Row],[Aufwendung CH*]]</f>
        <v>5445</v>
      </c>
      <c r="C23" s="3">
        <f>Tabelle135[[#This Row],[Gewinn DE]]-Tabelle1356[[#This Row],[Aufwendung DE]]</f>
        <v>14570</v>
      </c>
      <c r="D23" s="3">
        <f>Tabelle135[[#This Row],[Gewinn FR]]-Tabelle1356[[#This Row],[Aufwendung FR]]</f>
        <v>394180</v>
      </c>
      <c r="E23" s="3">
        <f>Tabelle135[[#This Row],[Gewinn AT]]-Tabelle1356[[#This Row],[Aufwendung AT]]</f>
        <v>641990</v>
      </c>
      <c r="F23" s="3">
        <f>SUM(Tabelle134[[#This Row],[Reingewinn CH*]:[Reingewinn AT]])</f>
        <v>1056185</v>
      </c>
    </row>
    <row r="24" spans="1:6" x14ac:dyDescent="0.55000000000000004">
      <c r="A24" s="1">
        <v>2024</v>
      </c>
      <c r="B24" s="3">
        <f>Tabelle135[[#This Row],[Gewinn CH*]]-Tabelle1356[[#This Row],[Aufwendung CH*]]</f>
        <v>3070</v>
      </c>
      <c r="C24" s="3">
        <f>Tabelle135[[#This Row],[Gewinn DE]]-Tabelle1356[[#This Row],[Aufwendung DE]]</f>
        <v>74560</v>
      </c>
      <c r="D24" s="3">
        <f>Tabelle135[[#This Row],[Gewinn FR]]-Tabelle1356[[#This Row],[Aufwendung FR]]</f>
        <v>229890</v>
      </c>
      <c r="E24" s="3">
        <f>Tabelle135[[#This Row],[Gewinn AT]]-Tabelle1356[[#This Row],[Aufwendung AT]]</f>
        <v>404510</v>
      </c>
      <c r="F24" s="3">
        <f>SUM(Tabelle134[[#This Row],[Reingewinn CH*]:[Reingewinn AT]])</f>
        <v>712030</v>
      </c>
    </row>
    <row r="25" spans="1:6" x14ac:dyDescent="0.55000000000000004">
      <c r="A25" s="5" t="s">
        <v>32</v>
      </c>
      <c r="B25" s="3">
        <f>SUBTOTAL(109,Tabelle134[Reingewinn CH*])</f>
        <v>847555</v>
      </c>
      <c r="C25" s="3">
        <f>SUBTOTAL(109,Tabelle134[Reingewinn DE])</f>
        <v>835888</v>
      </c>
      <c r="D25" s="3">
        <f>SUBTOTAL(109,Tabelle134[Reingewinn FR])</f>
        <v>22709000</v>
      </c>
      <c r="E25" s="3">
        <f>SUBTOTAL(109,Tabelle134[Reingewinn AT])</f>
        <v>20153646</v>
      </c>
      <c r="F25" s="3">
        <f>SUBTOTAL(109,Tabelle134[Total Reingewinn])</f>
        <v>44546089</v>
      </c>
    </row>
    <row r="27" spans="1:6" x14ac:dyDescent="0.55000000000000004">
      <c r="A27" t="s">
        <v>6</v>
      </c>
    </row>
  </sheetData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9B7045-FD60-4969-B624-B29FC0B7FAE0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60240943-3479-477A-8D1F-C5D3DE4DD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3C8923-C0C1-4674-89E7-1A8C035E8A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Umsätze</vt:lpstr>
      <vt:lpstr>Kosten</vt:lpstr>
      <vt:lpstr>Gewinn</vt:lpstr>
      <vt:lpstr>Rentabilität</vt:lpstr>
      <vt:lpstr>Aufwendung</vt:lpstr>
      <vt:lpstr>Reingewinn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2022-09-11T10:01:12Z</dcterms:created>
  <dcterms:modified xsi:type="dcterms:W3CDTF">2025-05-06T11:08:43Z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